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6552" windowHeight="7680" activeTab="0"/>
  </bookViews>
  <sheets>
    <sheet name="TS15.1a" sheetId="1" r:id="rId1"/>
    <sheet name="TS15.1b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olumn_headings" localSheetId="0">#REF!</definedName>
    <definedName name="column_headings" localSheetId="1">#REF!</definedName>
    <definedName name="column_headings">#REF!</definedName>
    <definedName name="column_numbers" localSheetId="0">#REF!</definedName>
    <definedName name="column_numbers" localSheetId="1">#REF!</definedName>
    <definedName name="column_numbers">#REF!</definedName>
    <definedName name="data" localSheetId="0">#REF!</definedName>
    <definedName name="data" localSheetId="1">#REF!</definedName>
    <definedName name="data">#REF!</definedName>
    <definedName name="data2" localSheetId="0">#REF!</definedName>
    <definedName name="data2" localSheetId="1">#REF!</definedName>
    <definedName name="data2">#REF!</definedName>
    <definedName name="ea_flux" localSheetId="0">#REF!</definedName>
    <definedName name="ea_flux" localSheetId="1">#REF!</definedName>
    <definedName name="ea_flux">#REF!</definedName>
    <definedName name="Equilibre" localSheetId="0">#REF!</definedName>
    <definedName name="Equilibre" localSheetId="1">#REF!</definedName>
    <definedName name="Equilibre">#REF!</definedName>
    <definedName name="footnotes" localSheetId="0">#REF!</definedName>
    <definedName name="footnotes" localSheetId="1">#REF!</definedName>
    <definedName name="footnotes">#REF!</definedName>
    <definedName name="PIB" localSheetId="0">#REF!</definedName>
    <definedName name="PIB" localSheetId="1">#REF!</definedName>
    <definedName name="PIB">#REF!</definedName>
    <definedName name="ressources" localSheetId="0">#REF!</definedName>
    <definedName name="ressources" localSheetId="1">#REF!</definedName>
    <definedName name="ressources">#REF!</definedName>
    <definedName name="rpflux" localSheetId="0">#REF!</definedName>
    <definedName name="rpflux" localSheetId="1">#REF!</definedName>
    <definedName name="rpflux">#REF!</definedName>
    <definedName name="rptof" localSheetId="0">#REF!</definedName>
    <definedName name="rptof" localSheetId="1">#REF!</definedName>
    <definedName name="rptof">#REF!</definedName>
    <definedName name="spanners_level1" localSheetId="0">#REF!</definedName>
    <definedName name="spanners_level1" localSheetId="1">#REF!</definedName>
    <definedName name="spanners_level1">#REF!</definedName>
    <definedName name="spanners_level2" localSheetId="0">#REF!</definedName>
    <definedName name="spanners_level2" localSheetId="1">#REF!</definedName>
    <definedName name="spanners_level2">#REF!</definedName>
    <definedName name="spanners_level3" localSheetId="0">#REF!</definedName>
    <definedName name="spanners_level3" localSheetId="1">#REF!</definedName>
    <definedName name="spanners_level3">#REF!</definedName>
    <definedName name="spanners_level4" localSheetId="0">#REF!</definedName>
    <definedName name="spanners_level4" localSheetId="1">#REF!</definedName>
    <definedName name="spanners_level4">#REF!</definedName>
    <definedName name="spanners_level5" localSheetId="0">#REF!</definedName>
    <definedName name="spanners_level5" localSheetId="1">#REF!</definedName>
    <definedName name="spanners_level5">#REF!</definedName>
    <definedName name="stub_lines" localSheetId="0">#REF!</definedName>
    <definedName name="stub_lines" localSheetId="1">#REF!</definedName>
    <definedName name="stub_lines">#REF!</definedName>
    <definedName name="temp" localSheetId="0">#REF!</definedName>
    <definedName name="temp" localSheetId="1">#REF!</definedName>
    <definedName name="temp">#REF!</definedName>
    <definedName name="titles" localSheetId="0">#REF!</definedName>
    <definedName name="titles" localSheetId="1">#REF!</definedName>
    <definedName name="titles">#REF!</definedName>
    <definedName name="totals" localSheetId="0">#REF!</definedName>
    <definedName name="totals" localSheetId="1">#REF!</definedName>
    <definedName name="totals">#REF!</definedName>
    <definedName name="xxx" localSheetId="0">#REF!</definedName>
    <definedName name="xxx" localSheetId="1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<sst xmlns="http://schemas.openxmlformats.org/spreadsheetml/2006/main" count="124" uniqueCount="55">
  <si>
    <t>Per adult GDP</t>
  </si>
  <si>
    <t>Pareto coeff a</t>
  </si>
  <si>
    <t>Inverted Pareto coeff b</t>
  </si>
  <si>
    <t>EU total population (millions, 2013)</t>
  </si>
  <si>
    <t>EU GDP (billions €, 2013)</t>
  </si>
  <si>
    <t>Ratio adult/total population: 80% (see Piketty-Zucman 2013 country tables: 82% in Germany, 78% in France, etc.)</t>
  </si>
  <si>
    <t>Per adult private wealth</t>
  </si>
  <si>
    <t>Private wealth-GDP ratio</t>
  </si>
  <si>
    <t>EU GDP and population: 15 000 billions € and 540 millions (see Table 1.1, 14 700 billions € for enlarged EU GDP in 2012 and 540 millions for population)</t>
  </si>
  <si>
    <t>Ratio adult/total population</t>
  </si>
  <si>
    <t>Pareto coeff: average estimate; the true inverted Pareto coeff varies with threshold and is closer to 3 at the very top (see Forbes ranking), which would increase tax revenues</t>
  </si>
  <si>
    <t>Adult population</t>
  </si>
  <si>
    <t>et plus</t>
  </si>
  <si>
    <t xml:space="preserve">Entre… </t>
  </si>
  <si>
    <t>Et…</t>
  </si>
  <si>
    <t>Tranches de patrimoine</t>
  </si>
  <si>
    <t>% de la population concernée par cette tranche d'imposition</t>
  </si>
  <si>
    <t>% de la base fiscale concernée par cette tranche d'imposition</t>
  </si>
  <si>
    <t>Tranche 1</t>
  </si>
  <si>
    <t>Tranche 2</t>
  </si>
  <si>
    <t>Tranche 3</t>
  </si>
  <si>
    <t>Tranche 4</t>
  </si>
  <si>
    <t>Tranche 5</t>
  </si>
  <si>
    <t>Tranche 6</t>
  </si>
  <si>
    <t>Taux marginal d'imposition</t>
  </si>
  <si>
    <t>Résultats de la simulation</t>
  </si>
  <si>
    <t>Top 10% wealth share</t>
  </si>
  <si>
    <t>Top 5% wealth share</t>
  </si>
  <si>
    <t>Top 1% wealth share</t>
  </si>
  <si>
    <t>P90 threshold</t>
  </si>
  <si>
    <t>P95 threshold</t>
  </si>
  <si>
    <t>P99 threshold</t>
  </si>
  <si>
    <t>P99,9 threshold</t>
  </si>
  <si>
    <t>P99,99 threshold</t>
  </si>
  <si>
    <t>P99,999 threshold</t>
  </si>
  <si>
    <t>Top 0,1% wealth share</t>
  </si>
  <si>
    <t>Top 0,01% wealth share</t>
  </si>
  <si>
    <t>Top 0,001% wealth share</t>
  </si>
  <si>
    <t>Total</t>
  </si>
  <si>
    <t>% de la population au-delà du seuil inférieur de la tranche</t>
  </si>
  <si>
    <t>(en % du patrimoine privé total)</t>
  </si>
  <si>
    <t>(en % du PIB)</t>
  </si>
  <si>
    <t>% de la base fiscale au-delà du seuil inférieur de la tranche</t>
  </si>
  <si>
    <t>Recettes fiscales au-delà du seuil (en % du PIB)</t>
  </si>
  <si>
    <t>Recettes fiscales rapportées par cette tranche d'imposition (en % du PIB)</t>
  </si>
  <si>
    <t>Résultats intermédiaires</t>
  </si>
  <si>
    <t>Nombre de contribuables concernée par cette tranche d'imposition (milliers)</t>
  </si>
  <si>
    <t>Recettes fiscales rapportées par cette tranche d'imposition (milliards €)</t>
  </si>
  <si>
    <t>Simulation parameters</t>
  </si>
  <si>
    <t>Private wealth-GDP ratio: 510% (see graph 5.1: average ratio private wealth/national income = about 550-560% in Europe) (somewhat higher with tax havens)</t>
  </si>
  <si>
    <t>Top wealth shares: 65% for top 10%, 28% for top 1% (see Table S10.1: slighltly above European averages in order to take into account downward biases in national estimates; according to Roine-Waldenstrom, corrected top 1% share could be even higher)</t>
  </si>
  <si>
    <t>Tableau S15.1a. Simulation élémentaire d'un impôt européen sur le patrimoine (exemple a)</t>
  </si>
  <si>
    <t xml:space="preserve">Choix du barème d'imposition                                                                                  </t>
  </si>
  <si>
    <t>(modifiez les paramètres en rouge)</t>
  </si>
  <si>
    <t>Tableau S15.1b. Simulation élémentaire d'un impôt européen sur le patrimoine (exemple b)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</si>
</sst>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0.0"/>
    <numFmt numFmtId="167" formatCode="_-* #,##0.00\ _F_-;\-* #,##0.00\ _F_-;_-* &quot;-&quot;??\ _F_-;_-@_-"/>
    <numFmt numFmtId="168" formatCode="\$#,##0\ ;\(\$#,##0\)"/>
    <numFmt numFmtId="169" formatCode="0.000"/>
    <numFmt numFmtId="170" formatCode="#,##0.0"/>
    <numFmt numFmtId="171" formatCode="#,##0.000"/>
    <numFmt numFmtId="172" formatCode="0.000%"/>
    <numFmt numFmtId="173" formatCode="#,##0.00000"/>
    <numFmt numFmtId="174" formatCode="0.0000"/>
    <numFmt numFmtId="175" formatCode="#,##0.0000"/>
    <numFmt numFmtId="176" formatCode="#,##0.000000"/>
    <numFmt numFmtId="177" formatCode="#,##0\ &quot;€&quot;"/>
    <numFmt numFmtId="178" formatCode="0.00000%"/>
    <numFmt numFmtId="179" formatCode="0.000000%"/>
    <numFmt numFmtId="180" formatCode="#,##0.0000000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\$#,##0.00\ ;\(\$#,##0.00\)"/>
    <numFmt numFmtId="193" formatCode="0.0E+00"/>
    <numFmt numFmtId="194" formatCode="0E+00"/>
    <numFmt numFmtId="195" formatCode="&quot;Vrai&quot;;&quot;Vrai&quot;;&quot;Faux&quot;"/>
    <numFmt numFmtId="196" formatCode="&quot;Actif&quot;;&quot;Actif&quot;;&quot;Inactif&quot;"/>
    <numFmt numFmtId="197" formatCode="0.000000"/>
    <numFmt numFmtId="198" formatCode="0.00000"/>
    <numFmt numFmtId="199" formatCode="#,##0.0\ &quot;€&quot;"/>
    <numFmt numFmtId="200" formatCode="#,##0.00\ &quot;€&quot;"/>
  </numFmts>
  <fonts count="27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7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8" fillId="0" borderId="2" applyNumberFormat="0" applyFill="0" applyAlignment="0" applyProtection="0"/>
    <xf numFmtId="0" fontId="11" fillId="21" borderId="3" applyNumberFormat="0" applyAlignment="0" applyProtection="0"/>
    <xf numFmtId="0" fontId="0" fillId="22" borderId="4" applyNumberFormat="0" applyFont="0" applyAlignment="0" applyProtection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2" fillId="0" borderId="0" applyNumberFormat="0" applyFill="0" applyBorder="0" applyAlignment="0" applyProtection="0"/>
    <xf numFmtId="3" fontId="3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20" borderId="8" applyNumberFormat="0" applyAlignment="0" applyProtection="0"/>
    <xf numFmtId="0" fontId="6" fillId="0" borderId="9">
      <alignment horizontal="center"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10" applyNumberFormat="0" applyFont="0" applyFill="0" applyAlignment="0" applyProtection="0"/>
    <xf numFmtId="0" fontId="11" fillId="21" borderId="3" applyNumberFormat="0" applyAlignment="0" applyProtection="0"/>
    <xf numFmtId="2" fontId="3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87">
      <alignment/>
      <protection/>
    </xf>
    <xf numFmtId="0" fontId="23" fillId="0" borderId="0" xfId="87" applyFont="1">
      <alignment/>
      <protection/>
    </xf>
    <xf numFmtId="0" fontId="23" fillId="0" borderId="11" xfId="87" applyFont="1" applyBorder="1" applyAlignment="1">
      <alignment horizontal="center" vertical="center" wrapText="1"/>
      <protection/>
    </xf>
    <xf numFmtId="0" fontId="23" fillId="0" borderId="0" xfId="87" applyFont="1" applyAlignment="1">
      <alignment horizontal="center" vertical="center"/>
      <protection/>
    </xf>
    <xf numFmtId="9" fontId="23" fillId="0" borderId="0" xfId="87" applyNumberFormat="1" applyFont="1" applyAlignment="1">
      <alignment horizontal="center" vertical="center"/>
      <protection/>
    </xf>
    <xf numFmtId="164" fontId="25" fillId="0" borderId="0" xfId="87" applyNumberFormat="1" applyFont="1" applyAlignment="1">
      <alignment horizontal="center" vertical="center"/>
      <protection/>
    </xf>
    <xf numFmtId="0" fontId="23" fillId="0" borderId="12" xfId="87" applyFont="1" applyBorder="1" applyAlignment="1">
      <alignment horizontal="center" vertical="center" wrapText="1"/>
      <protection/>
    </xf>
    <xf numFmtId="0" fontId="23" fillId="0" borderId="13" xfId="87" applyFont="1" applyBorder="1" applyAlignment="1">
      <alignment horizontal="center" vertical="center" wrapText="1"/>
      <protection/>
    </xf>
    <xf numFmtId="0" fontId="23" fillId="0" borderId="13" xfId="87" applyFont="1" applyBorder="1" applyAlignment="1">
      <alignment horizontal="center" vertical="center" wrapText="1"/>
      <protection/>
    </xf>
    <xf numFmtId="0" fontId="23" fillId="0" borderId="13" xfId="87" applyFont="1" applyBorder="1" applyAlignment="1">
      <alignment horizontal="center" vertical="center"/>
      <protection/>
    </xf>
    <xf numFmtId="177" fontId="23" fillId="0" borderId="13" xfId="87" applyNumberFormat="1" applyFont="1" applyBorder="1" applyAlignment="1">
      <alignment horizontal="center" vertical="center"/>
      <protection/>
    </xf>
    <xf numFmtId="0" fontId="23" fillId="0" borderId="14" xfId="87" applyFont="1" applyBorder="1" applyAlignment="1">
      <alignment horizontal="center" vertical="center"/>
      <protection/>
    </xf>
    <xf numFmtId="177" fontId="23" fillId="0" borderId="14" xfId="87" applyNumberFormat="1" applyFont="1" applyBorder="1" applyAlignment="1">
      <alignment horizontal="center" vertical="center"/>
      <protection/>
    </xf>
    <xf numFmtId="0" fontId="23" fillId="0" borderId="15" xfId="87" applyFont="1" applyBorder="1" applyAlignment="1">
      <alignment horizontal="center" vertical="center"/>
      <protection/>
    </xf>
    <xf numFmtId="177" fontId="23" fillId="0" borderId="15" xfId="87" applyNumberFormat="1" applyFont="1" applyBorder="1" applyAlignment="1">
      <alignment horizontal="center" vertical="center"/>
      <protection/>
    </xf>
    <xf numFmtId="0" fontId="23" fillId="0" borderId="0" xfId="87" applyFont="1" applyAlignment="1">
      <alignment horizontal="left" vertical="center"/>
      <protection/>
    </xf>
    <xf numFmtId="0" fontId="23" fillId="0" borderId="15" xfId="87" applyFont="1" applyBorder="1" applyAlignment="1">
      <alignment horizontal="center" vertical="center" wrapText="1"/>
      <protection/>
    </xf>
    <xf numFmtId="0" fontId="23" fillId="0" borderId="16" xfId="87" applyFont="1" applyBorder="1" applyAlignment="1">
      <alignment horizontal="center" vertical="center" wrapText="1"/>
      <protection/>
    </xf>
    <xf numFmtId="0" fontId="23" fillId="0" borderId="17" xfId="87" applyFont="1" applyBorder="1" applyAlignment="1">
      <alignment horizontal="center" vertical="center" wrapText="1"/>
      <protection/>
    </xf>
    <xf numFmtId="0" fontId="23" fillId="0" borderId="14" xfId="87" applyFont="1" applyBorder="1" applyAlignment="1">
      <alignment horizontal="center" vertical="center" wrapText="1"/>
      <protection/>
    </xf>
    <xf numFmtId="10" fontId="23" fillId="0" borderId="13" xfId="87" applyNumberFormat="1" applyFont="1" applyBorder="1" applyAlignment="1">
      <alignment horizontal="center" vertical="center"/>
      <protection/>
    </xf>
    <xf numFmtId="9" fontId="23" fillId="0" borderId="13" xfId="87" applyNumberFormat="1" applyFont="1" applyBorder="1" applyAlignment="1">
      <alignment horizontal="center" vertical="center"/>
      <protection/>
    </xf>
    <xf numFmtId="164" fontId="25" fillId="0" borderId="13" xfId="87" applyNumberFormat="1" applyFont="1" applyBorder="1" applyAlignment="1">
      <alignment horizontal="center" vertical="center"/>
      <protection/>
    </xf>
    <xf numFmtId="10" fontId="23" fillId="0" borderId="14" xfId="87" applyNumberFormat="1" applyFont="1" applyBorder="1" applyAlignment="1">
      <alignment horizontal="center" vertical="center"/>
      <protection/>
    </xf>
    <xf numFmtId="9" fontId="23" fillId="0" borderId="14" xfId="87" applyNumberFormat="1" applyFont="1" applyBorder="1" applyAlignment="1">
      <alignment horizontal="center" vertical="center"/>
      <protection/>
    </xf>
    <xf numFmtId="164" fontId="25" fillId="0" borderId="14" xfId="87" applyNumberFormat="1" applyFont="1" applyBorder="1" applyAlignment="1">
      <alignment horizontal="center" vertical="center"/>
      <protection/>
    </xf>
    <xf numFmtId="172" fontId="23" fillId="0" borderId="14" xfId="87" applyNumberFormat="1" applyFont="1" applyBorder="1" applyAlignment="1">
      <alignment horizontal="center" vertical="center"/>
      <protection/>
    </xf>
    <xf numFmtId="0" fontId="0" fillId="0" borderId="15" xfId="87" applyBorder="1">
      <alignment/>
      <protection/>
    </xf>
    <xf numFmtId="164" fontId="25" fillId="0" borderId="15" xfId="87" applyNumberFormat="1" applyFont="1" applyBorder="1" applyAlignment="1">
      <alignment horizontal="center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64" fontId="23" fillId="0" borderId="13" xfId="87" applyNumberFormat="1" applyFont="1" applyBorder="1" applyAlignment="1">
      <alignment horizontal="center" vertical="center"/>
      <protection/>
    </xf>
    <xf numFmtId="164" fontId="23" fillId="0" borderId="13" xfId="87" applyNumberFormat="1" applyFont="1" applyBorder="1" applyAlignment="1">
      <alignment horizontal="center"/>
      <protection/>
    </xf>
    <xf numFmtId="3" fontId="23" fillId="0" borderId="13" xfId="87" applyNumberFormat="1" applyFont="1" applyBorder="1" applyAlignment="1">
      <alignment horizontal="center"/>
      <protection/>
    </xf>
    <xf numFmtId="164" fontId="23" fillId="0" borderId="14" xfId="87" applyNumberFormat="1" applyFont="1" applyBorder="1" applyAlignment="1">
      <alignment horizontal="center" vertical="center"/>
      <protection/>
    </xf>
    <xf numFmtId="164" fontId="23" fillId="0" borderId="14" xfId="87" applyNumberFormat="1" applyFont="1" applyBorder="1" applyAlignment="1">
      <alignment horizontal="center"/>
      <protection/>
    </xf>
    <xf numFmtId="3" fontId="23" fillId="0" borderId="14" xfId="87" applyNumberFormat="1" applyFont="1" applyBorder="1" applyAlignment="1">
      <alignment horizontal="center"/>
      <protection/>
    </xf>
    <xf numFmtId="164" fontId="25" fillId="0" borderId="12" xfId="87" applyNumberFormat="1" applyFont="1" applyBorder="1" applyAlignment="1">
      <alignment horizontal="center" vertical="center"/>
      <protection/>
    </xf>
    <xf numFmtId="0" fontId="25" fillId="0" borderId="11" xfId="87" applyFont="1" applyBorder="1" applyAlignment="1">
      <alignment horizontal="center" vertical="center"/>
      <protection/>
    </xf>
    <xf numFmtId="0" fontId="25" fillId="0" borderId="18" xfId="87" applyFont="1" applyBorder="1" applyAlignment="1">
      <alignment horizontal="center" vertical="center"/>
      <protection/>
    </xf>
    <xf numFmtId="0" fontId="25" fillId="0" borderId="19" xfId="87" applyFont="1" applyBorder="1" applyAlignment="1">
      <alignment horizontal="center" vertical="center"/>
      <protection/>
    </xf>
    <xf numFmtId="0" fontId="25" fillId="0" borderId="23" xfId="87" applyFont="1" applyBorder="1" applyAlignment="1">
      <alignment horizontal="center" vertical="center"/>
      <protection/>
    </xf>
    <xf numFmtId="0" fontId="25" fillId="0" borderId="0" xfId="87" applyFont="1" applyBorder="1" applyAlignment="1">
      <alignment horizontal="center" vertical="center"/>
      <protection/>
    </xf>
    <xf numFmtId="0" fontId="25" fillId="0" borderId="24" xfId="87" applyFont="1" applyBorder="1" applyAlignment="1">
      <alignment horizontal="center" vertical="center"/>
      <protection/>
    </xf>
    <xf numFmtId="0" fontId="25" fillId="0" borderId="20" xfId="87" applyFont="1" applyBorder="1" applyAlignment="1">
      <alignment horizontal="center" vertical="center"/>
      <protection/>
    </xf>
    <xf numFmtId="0" fontId="25" fillId="0" borderId="21" xfId="87" applyFont="1" applyBorder="1" applyAlignment="1">
      <alignment horizontal="center" vertical="center"/>
      <protection/>
    </xf>
    <xf numFmtId="0" fontId="25" fillId="0" borderId="22" xfId="87" applyFont="1" applyBorder="1" applyAlignment="1">
      <alignment horizontal="center" vertical="center"/>
      <protection/>
    </xf>
    <xf numFmtId="3" fontId="23" fillId="0" borderId="13" xfId="87" applyNumberFormat="1" applyFont="1" applyBorder="1" applyAlignment="1">
      <alignment horizontal="center" vertical="center"/>
      <protection/>
    </xf>
    <xf numFmtId="0" fontId="23" fillId="0" borderId="14" xfId="87" applyFont="1" applyBorder="1" applyAlignment="1">
      <alignment horizontal="center" vertical="center" wrapText="1"/>
      <protection/>
    </xf>
    <xf numFmtId="1" fontId="23" fillId="0" borderId="14" xfId="87" applyNumberFormat="1" applyFont="1" applyBorder="1" applyAlignment="1">
      <alignment horizontal="center" vertical="center"/>
      <protection/>
    </xf>
    <xf numFmtId="2" fontId="23" fillId="0" borderId="14" xfId="87" applyNumberFormat="1" applyFont="1" applyBorder="1" applyAlignment="1">
      <alignment horizontal="center" vertical="center"/>
      <protection/>
    </xf>
    <xf numFmtId="0" fontId="23" fillId="0" borderId="15" xfId="87" applyFont="1" applyBorder="1" applyAlignment="1">
      <alignment horizontal="center" vertical="center" wrapText="1"/>
      <protection/>
    </xf>
    <xf numFmtId="2" fontId="23" fillId="0" borderId="15" xfId="87" applyNumberFormat="1" applyFont="1" applyBorder="1" applyAlignment="1">
      <alignment horizontal="center" vertical="center"/>
      <protection/>
    </xf>
    <xf numFmtId="0" fontId="25" fillId="0" borderId="11" xfId="87" applyFont="1" applyBorder="1" applyAlignment="1">
      <alignment horizontal="center" vertical="center" wrapText="1"/>
      <protection/>
    </xf>
    <xf numFmtId="0" fontId="25" fillId="0" borderId="18" xfId="87" applyFont="1" applyBorder="1" applyAlignment="1">
      <alignment horizontal="center" vertical="center" wrapText="1"/>
      <protection/>
    </xf>
    <xf numFmtId="0" fontId="25" fillId="0" borderId="19" xfId="87" applyFont="1" applyBorder="1" applyAlignment="1">
      <alignment horizontal="center" vertical="center" wrapText="1"/>
      <protection/>
    </xf>
    <xf numFmtId="0" fontId="25" fillId="0" borderId="23" xfId="87" applyFont="1" applyBorder="1" applyAlignment="1">
      <alignment horizontal="center" vertical="center" wrapText="1"/>
      <protection/>
    </xf>
    <xf numFmtId="0" fontId="25" fillId="0" borderId="0" xfId="87" applyFont="1" applyBorder="1" applyAlignment="1">
      <alignment horizontal="center" vertical="center" wrapText="1"/>
      <protection/>
    </xf>
    <xf numFmtId="0" fontId="25" fillId="0" borderId="24" xfId="87" applyFont="1" applyBorder="1" applyAlignment="1">
      <alignment horizontal="center" vertical="center" wrapText="1"/>
      <protection/>
    </xf>
    <xf numFmtId="0" fontId="25" fillId="0" borderId="20" xfId="87" applyFont="1" applyBorder="1" applyAlignment="1">
      <alignment horizontal="center" vertical="center" wrapText="1"/>
      <protection/>
    </xf>
    <xf numFmtId="0" fontId="25" fillId="0" borderId="21" xfId="87" applyFont="1" applyBorder="1" applyAlignment="1">
      <alignment horizontal="center" vertical="center" wrapText="1"/>
      <protection/>
    </xf>
    <xf numFmtId="0" fontId="25" fillId="0" borderId="22" xfId="87" applyFont="1" applyBorder="1" applyAlignment="1">
      <alignment horizontal="center" vertical="center" wrapText="1"/>
      <protection/>
    </xf>
    <xf numFmtId="3" fontId="25" fillId="0" borderId="12" xfId="87" applyNumberFormat="1" applyFont="1" applyBorder="1" applyAlignment="1">
      <alignment horizontal="center"/>
      <protection/>
    </xf>
    <xf numFmtId="0" fontId="0" fillId="0" borderId="0" xfId="87" applyBorder="1">
      <alignment/>
      <protection/>
    </xf>
    <xf numFmtId="0" fontId="23" fillId="0" borderId="0" xfId="87" applyFont="1" applyBorder="1" applyAlignment="1">
      <alignment vertical="center" wrapText="1"/>
      <protection/>
    </xf>
    <xf numFmtId="0" fontId="0" fillId="0" borderId="24" xfId="87" applyBorder="1">
      <alignment/>
      <protection/>
    </xf>
    <xf numFmtId="0" fontId="23" fillId="0" borderId="24" xfId="87" applyFont="1" applyBorder="1" applyAlignment="1">
      <alignment vertical="center" wrapText="1"/>
      <protection/>
    </xf>
    <xf numFmtId="177" fontId="26" fillId="24" borderId="13" xfId="87" applyNumberFormat="1" applyFont="1" applyFill="1" applyBorder="1" applyAlignment="1">
      <alignment horizontal="center" vertical="center"/>
      <protection/>
    </xf>
    <xf numFmtId="177" fontId="26" fillId="24" borderId="14" xfId="87" applyNumberFormat="1" applyFont="1" applyFill="1" applyBorder="1" applyAlignment="1">
      <alignment horizontal="center" vertical="center"/>
      <protection/>
    </xf>
    <xf numFmtId="177" fontId="26" fillId="24" borderId="15" xfId="87" applyNumberFormat="1" applyFont="1" applyFill="1" applyBorder="1" applyAlignment="1">
      <alignment horizontal="center" vertical="center"/>
      <protection/>
    </xf>
    <xf numFmtId="164" fontId="26" fillId="24" borderId="13" xfId="87" applyNumberFormat="1" applyFont="1" applyFill="1" applyBorder="1" applyAlignment="1">
      <alignment horizontal="center" vertical="center"/>
      <protection/>
    </xf>
    <xf numFmtId="164" fontId="26" fillId="24" borderId="14" xfId="87" applyNumberFormat="1" applyFont="1" applyFill="1" applyBorder="1" applyAlignment="1">
      <alignment horizontal="center" vertical="center"/>
      <protection/>
    </xf>
    <xf numFmtId="164" fontId="26" fillId="24" borderId="15" xfId="87" applyNumberFormat="1" applyFont="1" applyFill="1" applyBorder="1" applyAlignment="1">
      <alignment horizontal="center" vertical="center"/>
      <protection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</cellXfs>
  <cellStyles count="9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Date" xfId="64"/>
    <cellStyle name="En-tête 1" xfId="65"/>
    <cellStyle name="En-tête 2" xfId="66"/>
    <cellStyle name="Entrée" xfId="67"/>
    <cellStyle name="Explanatory Text" xfId="68"/>
    <cellStyle name="Financier0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Insatisfaisant" xfId="76"/>
    <cellStyle name="Hyperlink" xfId="77"/>
    <cellStyle name="Followed Hyperlink" xfId="78"/>
    <cellStyle name="Linked Cell" xfId="79"/>
    <cellStyle name="Comma" xfId="80"/>
    <cellStyle name="Comma [0]" xfId="81"/>
    <cellStyle name="Currency" xfId="82"/>
    <cellStyle name="Currency [0]" xfId="83"/>
    <cellStyle name="Monétaire0" xfId="84"/>
    <cellStyle name="Neutral" xfId="85"/>
    <cellStyle name="Neutre" xfId="86"/>
    <cellStyle name="Normal 2" xfId="87"/>
    <cellStyle name="Note" xfId="88"/>
    <cellStyle name="Output" xfId="89"/>
    <cellStyle name="Percent" xfId="90"/>
    <cellStyle name="Satisfaisant" xfId="91"/>
    <cellStyle name="Sortie" xfId="92"/>
    <cellStyle name="style_col_headings" xfId="93"/>
    <cellStyle name="Texte explicatif" xfId="94"/>
    <cellStyle name="Title" xfId="95"/>
    <cellStyle name="Titre" xfId="96"/>
    <cellStyle name="Titre 1" xfId="97"/>
    <cellStyle name="Titre 2" xfId="98"/>
    <cellStyle name="Titre 3" xfId="99"/>
    <cellStyle name="Titre 4" xfId="100"/>
    <cellStyle name="Total" xfId="101"/>
    <cellStyle name="Vérification" xfId="102"/>
    <cellStyle name="Virgule fixe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optKtax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optKtax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7" width="18.7109375" style="1" customWidth="1"/>
    <col min="8" max="17" width="15.7109375" style="1" customWidth="1"/>
    <col min="18" max="16384" width="11.57421875" style="1" customWidth="1"/>
  </cols>
  <sheetData>
    <row r="2" ht="13.5" thickBot="1"/>
    <row r="3" spans="1:7" ht="13.5" thickTop="1">
      <c r="A3" s="57" t="s">
        <v>51</v>
      </c>
      <c r="B3" s="58"/>
      <c r="C3" s="58"/>
      <c r="D3" s="58"/>
      <c r="E3" s="58"/>
      <c r="F3" s="58"/>
      <c r="G3" s="59"/>
    </row>
    <row r="4" spans="1:7" ht="12.75">
      <c r="A4" s="60"/>
      <c r="B4" s="61"/>
      <c r="C4" s="61"/>
      <c r="D4" s="61"/>
      <c r="E4" s="61"/>
      <c r="F4" s="61"/>
      <c r="G4" s="62"/>
    </row>
    <row r="5" spans="1:7" ht="13.5" thickBot="1">
      <c r="A5" s="63"/>
      <c r="B5" s="64"/>
      <c r="C5" s="64"/>
      <c r="D5" s="64"/>
      <c r="E5" s="64"/>
      <c r="F5" s="64"/>
      <c r="G5" s="65"/>
    </row>
    <row r="6" spans="1:10" ht="15.75" thickBot="1" thickTop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9.5" customHeight="1" thickTop="1">
      <c r="A7" s="69"/>
      <c r="B7" s="57" t="s">
        <v>52</v>
      </c>
      <c r="C7" s="58"/>
      <c r="D7" s="59"/>
      <c r="H7" s="2"/>
      <c r="I7" s="2"/>
      <c r="J7" s="2"/>
    </row>
    <row r="8" spans="1:10" ht="19.5" customHeight="1" thickBot="1">
      <c r="A8" s="70"/>
      <c r="B8" s="77" t="s">
        <v>53</v>
      </c>
      <c r="C8" s="78"/>
      <c r="D8" s="79"/>
      <c r="H8" s="2"/>
      <c r="I8" s="2"/>
      <c r="J8" s="2"/>
    </row>
    <row r="9" spans="1:4" ht="24.75" customHeight="1" thickBot="1" thickTop="1">
      <c r="A9" s="2"/>
      <c r="B9" s="18" t="s">
        <v>15</v>
      </c>
      <c r="C9" s="19"/>
      <c r="D9" s="9" t="s">
        <v>24</v>
      </c>
    </row>
    <row r="10" spans="1:4" ht="24.75" customHeight="1" thickBot="1" thickTop="1">
      <c r="A10" s="2"/>
      <c r="B10" s="8" t="s">
        <v>13</v>
      </c>
      <c r="C10" s="8" t="s">
        <v>14</v>
      </c>
      <c r="D10" s="17"/>
    </row>
    <row r="11" spans="1:4" ht="15" customHeight="1" thickTop="1">
      <c r="A11" s="10" t="s">
        <v>18</v>
      </c>
      <c r="B11" s="71">
        <v>0</v>
      </c>
      <c r="C11" s="11">
        <f>B12</f>
        <v>200000</v>
      </c>
      <c r="D11" s="74">
        <v>0</v>
      </c>
    </row>
    <row r="12" spans="1:4" ht="15" customHeight="1">
      <c r="A12" s="12" t="s">
        <v>19</v>
      </c>
      <c r="B12" s="72">
        <v>200000</v>
      </c>
      <c r="C12" s="13">
        <f>B13</f>
        <v>1000000</v>
      </c>
      <c r="D12" s="75">
        <v>0</v>
      </c>
    </row>
    <row r="13" spans="1:4" ht="15" customHeight="1">
      <c r="A13" s="12" t="s">
        <v>20</v>
      </c>
      <c r="B13" s="72">
        <v>1000000</v>
      </c>
      <c r="C13" s="13">
        <f>B14</f>
        <v>5000000</v>
      </c>
      <c r="D13" s="75">
        <v>0.01</v>
      </c>
    </row>
    <row r="14" spans="1:4" ht="15" customHeight="1">
      <c r="A14" s="12" t="s">
        <v>21</v>
      </c>
      <c r="B14" s="72">
        <v>5000000</v>
      </c>
      <c r="C14" s="13">
        <f>B15</f>
        <v>20000000</v>
      </c>
      <c r="D14" s="75">
        <v>0.02</v>
      </c>
    </row>
    <row r="15" spans="1:4" ht="15" customHeight="1">
      <c r="A15" s="12" t="s">
        <v>22</v>
      </c>
      <c r="B15" s="72">
        <v>20000000</v>
      </c>
      <c r="C15" s="13">
        <f>B16</f>
        <v>100000000</v>
      </c>
      <c r="D15" s="75">
        <v>0.02</v>
      </c>
    </row>
    <row r="16" spans="1:4" ht="15" customHeight="1" thickBot="1">
      <c r="A16" s="14" t="s">
        <v>23</v>
      </c>
      <c r="B16" s="73">
        <v>100000000</v>
      </c>
      <c r="C16" s="15" t="s">
        <v>12</v>
      </c>
      <c r="D16" s="76">
        <v>0.02</v>
      </c>
    </row>
    <row r="17" spans="1:10" ht="15" customHeight="1" thickBot="1" thickTop="1">
      <c r="A17" s="4"/>
      <c r="B17" s="4"/>
      <c r="C17" s="4"/>
      <c r="D17" s="4"/>
      <c r="H17" s="4"/>
      <c r="I17" s="4"/>
      <c r="J17" s="4"/>
    </row>
    <row r="18" spans="1:12" ht="15" customHeight="1" thickTop="1">
      <c r="A18" s="67"/>
      <c r="B18" s="57" t="s">
        <v>25</v>
      </c>
      <c r="C18" s="58"/>
      <c r="D18" s="58"/>
      <c r="E18" s="58"/>
      <c r="F18" s="58"/>
      <c r="G18" s="59"/>
      <c r="H18" s="4"/>
      <c r="I18" s="3" t="s">
        <v>45</v>
      </c>
      <c r="J18" s="30"/>
      <c r="K18" s="30"/>
      <c r="L18" s="31"/>
    </row>
    <row r="19" spans="1:12" ht="15" customHeight="1" thickBot="1">
      <c r="A19" s="68"/>
      <c r="B19" s="63"/>
      <c r="C19" s="64"/>
      <c r="D19" s="64"/>
      <c r="E19" s="64"/>
      <c r="F19" s="64"/>
      <c r="G19" s="65"/>
      <c r="H19" s="4"/>
      <c r="I19" s="32"/>
      <c r="J19" s="33"/>
      <c r="K19" s="33"/>
      <c r="L19" s="34"/>
    </row>
    <row r="20" spans="1:12" ht="15" customHeight="1" thickBot="1" thickTop="1">
      <c r="A20" s="4"/>
      <c r="B20" s="9" t="s">
        <v>16</v>
      </c>
      <c r="C20" s="7" t="s">
        <v>17</v>
      </c>
      <c r="D20" s="7"/>
      <c r="E20" s="9" t="s">
        <v>44</v>
      </c>
      <c r="F20" s="9" t="s">
        <v>46</v>
      </c>
      <c r="G20" s="9" t="s">
        <v>47</v>
      </c>
      <c r="H20" s="4"/>
      <c r="I20" s="9" t="s">
        <v>39</v>
      </c>
      <c r="J20" s="7" t="s">
        <v>42</v>
      </c>
      <c r="K20" s="7"/>
      <c r="L20" s="9" t="s">
        <v>43</v>
      </c>
    </row>
    <row r="21" spans="1:12" ht="15" customHeight="1" thickBot="1" thickTop="1">
      <c r="A21" s="4"/>
      <c r="B21" s="20"/>
      <c r="C21" s="7"/>
      <c r="D21" s="7"/>
      <c r="E21" s="20"/>
      <c r="F21" s="20"/>
      <c r="G21" s="20"/>
      <c r="H21" s="4"/>
      <c r="I21" s="20"/>
      <c r="J21" s="7"/>
      <c r="K21" s="7"/>
      <c r="L21" s="20"/>
    </row>
    <row r="22" spans="1:12" ht="15" customHeight="1" thickBot="1" thickTop="1">
      <c r="A22" s="4"/>
      <c r="B22" s="20"/>
      <c r="C22" s="7"/>
      <c r="D22" s="7"/>
      <c r="E22" s="20"/>
      <c r="F22" s="20"/>
      <c r="G22" s="20"/>
      <c r="H22" s="4"/>
      <c r="I22" s="20"/>
      <c r="J22" s="7"/>
      <c r="K22" s="7"/>
      <c r="L22" s="20"/>
    </row>
    <row r="23" spans="1:12" ht="15" customHeight="1" thickBot="1" thickTop="1">
      <c r="A23" s="4"/>
      <c r="B23" s="20"/>
      <c r="C23" s="7"/>
      <c r="D23" s="7"/>
      <c r="E23" s="20"/>
      <c r="F23" s="20"/>
      <c r="G23" s="20"/>
      <c r="H23" s="4"/>
      <c r="I23" s="20"/>
      <c r="J23" s="7"/>
      <c r="K23" s="7"/>
      <c r="L23" s="20"/>
    </row>
    <row r="24" spans="1:12" ht="15" customHeight="1" thickBot="1" thickTop="1">
      <c r="A24" s="4"/>
      <c r="B24" s="20"/>
      <c r="C24" s="7" t="s">
        <v>40</v>
      </c>
      <c r="D24" s="7" t="s">
        <v>41</v>
      </c>
      <c r="E24" s="20"/>
      <c r="F24" s="20"/>
      <c r="G24" s="20"/>
      <c r="H24" s="4"/>
      <c r="I24" s="20"/>
      <c r="J24" s="7" t="s">
        <v>40</v>
      </c>
      <c r="K24" s="7" t="s">
        <v>41</v>
      </c>
      <c r="L24" s="20"/>
    </row>
    <row r="25" spans="1:12" ht="15" customHeight="1" thickBot="1" thickTop="1">
      <c r="A25" s="4"/>
      <c r="B25" s="20"/>
      <c r="C25" s="7"/>
      <c r="D25" s="7"/>
      <c r="E25" s="20"/>
      <c r="F25" s="20"/>
      <c r="G25" s="20"/>
      <c r="H25" s="4"/>
      <c r="I25" s="20"/>
      <c r="J25" s="7"/>
      <c r="K25" s="7"/>
      <c r="L25" s="20"/>
    </row>
    <row r="26" spans="1:12" ht="15" customHeight="1" thickBot="1" thickTop="1">
      <c r="A26" s="4"/>
      <c r="B26" s="17"/>
      <c r="C26" s="7"/>
      <c r="D26" s="7"/>
      <c r="E26" s="17"/>
      <c r="F26" s="17"/>
      <c r="G26" s="17"/>
      <c r="H26" s="4"/>
      <c r="I26" s="17"/>
      <c r="J26" s="7"/>
      <c r="K26" s="7"/>
      <c r="L26" s="17"/>
    </row>
    <row r="27" spans="1:12" ht="15" customHeight="1" thickTop="1">
      <c r="A27" s="10" t="s">
        <v>18</v>
      </c>
      <c r="B27" s="35">
        <f>I27-I28</f>
        <v>0.6362797217223003</v>
      </c>
      <c r="C27" s="35">
        <f>J27-J28</f>
        <v>0.050000000000000044</v>
      </c>
      <c r="D27" s="36">
        <f>K27-K28</f>
        <v>0.2549999999999999</v>
      </c>
      <c r="E27" s="36">
        <f>L$27*D27/K$27</f>
        <v>0</v>
      </c>
      <c r="F27" s="37">
        <f>B27*B$42*1000</f>
        <v>274872.8397840337</v>
      </c>
      <c r="G27" s="37">
        <f>E27*B$39</f>
        <v>0</v>
      </c>
      <c r="H27" s="4"/>
      <c r="I27" s="21">
        <v>1</v>
      </c>
      <c r="J27" s="22">
        <v>1</v>
      </c>
      <c r="K27" s="22">
        <f>B$45*J27</f>
        <v>5.1</v>
      </c>
      <c r="L27" s="23">
        <f>D11*K27*(D$46-1)/D$46</f>
        <v>0</v>
      </c>
    </row>
    <row r="28" spans="1:12" ht="15" customHeight="1">
      <c r="A28" s="12" t="s">
        <v>19</v>
      </c>
      <c r="B28" s="38">
        <f>I28-I29</f>
        <v>0.335171412811793</v>
      </c>
      <c r="C28" s="38">
        <f>J28-J29</f>
        <v>0.5308354811593937</v>
      </c>
      <c r="D28" s="39">
        <f>K28-K29</f>
        <v>2.707260953912908</v>
      </c>
      <c r="E28" s="39">
        <f>L$27*D28/K$27+L$28*D28/K$28</f>
        <v>0</v>
      </c>
      <c r="F28" s="40">
        <f>B28*B$42*1000</f>
        <v>144794.0503346946</v>
      </c>
      <c r="G28" s="40">
        <f>E28*B$39</f>
        <v>0</v>
      </c>
      <c r="H28" s="4"/>
      <c r="I28" s="24">
        <f>0.1*(F$39/B12)^D$45</f>
        <v>0.3637202782776997</v>
      </c>
      <c r="J28" s="25">
        <f>IF(I28*B12*D$46/B$44&lt;1,I28*B12*D$46/B$44,0.95)</f>
        <v>0.95</v>
      </c>
      <c r="K28" s="25">
        <f>B$45*J28</f>
        <v>4.845</v>
      </c>
      <c r="L28" s="26">
        <f>(D12-D11)*K28*(D$46-1)/D$46</f>
        <v>0</v>
      </c>
    </row>
    <row r="29" spans="1:12" ht="15" customHeight="1">
      <c r="A29" s="12" t="s">
        <v>20</v>
      </c>
      <c r="B29" s="38">
        <f>I29-I30</f>
        <v>0.026326577569638084</v>
      </c>
      <c r="C29" s="38">
        <f>J29-J30</f>
        <v>0.2560224426910065</v>
      </c>
      <c r="D29" s="39">
        <f>K29-K30</f>
        <v>1.3057144577241333</v>
      </c>
      <c r="E29" s="39">
        <f>L$27*D29/K$27+L$28*D29/K$28+L$29*D29/K$29</f>
        <v>0.008035165893686974</v>
      </c>
      <c r="F29" s="40">
        <f>B29*B$42*1000</f>
        <v>11373.081510083653</v>
      </c>
      <c r="G29" s="40">
        <f>E29*B$39</f>
        <v>120.52748840530461</v>
      </c>
      <c r="H29" s="4"/>
      <c r="I29" s="24">
        <f>0.01*(F$41/B13)^D$45</f>
        <v>0.02854886546590667</v>
      </c>
      <c r="J29" s="25">
        <f>I29*B13*D$46/B$44</f>
        <v>0.41916451884060624</v>
      </c>
      <c r="K29" s="25">
        <f>B$45*J29</f>
        <v>2.1377390460870918</v>
      </c>
      <c r="L29" s="26">
        <f>(D13-D12)*K29*(D$46-1)/D$46</f>
        <v>0.013155317206689795</v>
      </c>
    </row>
    <row r="30" spans="1:12" ht="15" customHeight="1">
      <c r="A30" s="12" t="s">
        <v>21</v>
      </c>
      <c r="B30" s="24">
        <f>I30-I31</f>
        <v>0.001984817450660761</v>
      </c>
      <c r="C30" s="38">
        <f>J30-J31</f>
        <v>0.09340957823934914</v>
      </c>
      <c r="D30" s="39">
        <f>K30-K31</f>
        <v>0.4763888490206807</v>
      </c>
      <c r="E30" s="39">
        <f>L$27*D30/K$27+L$28*D30/K$28+L$29*D30/K$29+L$30*D30/K$30</f>
        <v>0.005863247372562224</v>
      </c>
      <c r="F30" s="40">
        <f>B30*B$42*1000</f>
        <v>857.4411386854488</v>
      </c>
      <c r="G30" s="40">
        <f>E30*B$39</f>
        <v>87.94871058843337</v>
      </c>
      <c r="H30" s="4"/>
      <c r="I30" s="24">
        <f>0.001*(F$42/B14)^D$45</f>
        <v>0.0022222878962685857</v>
      </c>
      <c r="J30" s="25">
        <f>I30*B14*D$46/B$44</f>
        <v>0.16314207614959972</v>
      </c>
      <c r="K30" s="25">
        <f>B$45*J30</f>
        <v>0.8320245883629586</v>
      </c>
      <c r="L30" s="26">
        <f>(D14-D13)*K30*(D$46-1)/D$46</f>
        <v>0.005120151313002822</v>
      </c>
    </row>
    <row r="31" spans="1:12" ht="15" customHeight="1">
      <c r="A31" s="12" t="s">
        <v>22</v>
      </c>
      <c r="B31" s="24">
        <f>I31-I32</f>
        <v>0.00021372340104704198</v>
      </c>
      <c r="C31" s="38">
        <f>J31-J32</f>
        <v>0.03486624895512529</v>
      </c>
      <c r="D31" s="39">
        <f>K31-K32</f>
        <v>0.17781786967113894</v>
      </c>
      <c r="E31" s="39">
        <f>L$27*D31/K$27+L$28*D31/K$28+L$29*D31/K$29+L$30*D31/K$30+L$31*D31/K$31</f>
        <v>0.00218852762672171</v>
      </c>
      <c r="F31" s="40">
        <f>B31*B$42*1000</f>
        <v>92.32850925232214</v>
      </c>
      <c r="G31" s="40">
        <f>E31*B$39</f>
        <v>32.827914400825655</v>
      </c>
      <c r="H31" s="4"/>
      <c r="I31" s="24">
        <f>0.0001*(F$43/B15)^D$45</f>
        <v>0.00023747044560782442</v>
      </c>
      <c r="J31" s="25">
        <f>I31*B15*D$46/B$44</f>
        <v>0.06973249791025057</v>
      </c>
      <c r="K31" s="25">
        <f>B$45*J31</f>
        <v>0.3556357393422779</v>
      </c>
      <c r="L31" s="26">
        <f>(D15-D14)*K31*(D$46-1)/D$46</f>
        <v>0</v>
      </c>
    </row>
    <row r="32" spans="1:12" ht="15" customHeight="1" thickBot="1">
      <c r="A32" s="14" t="s">
        <v>23</v>
      </c>
      <c r="B32" s="27">
        <f>I32-J17</f>
        <v>2.374704456078244E-05</v>
      </c>
      <c r="C32" s="38">
        <f>J32-J33</f>
        <v>0.03486624895512529</v>
      </c>
      <c r="D32" s="39">
        <f>K32-K33</f>
        <v>0.17781786967113894</v>
      </c>
      <c r="E32" s="39">
        <f>L$27*D32/K$27+L$28*D32/K$28+L$29*D32/K$29+L$30*D32/K$30+L$31*D32/K$31+L$32*D32/K$32</f>
        <v>0.00218852762672171</v>
      </c>
      <c r="F32" s="40">
        <f>B32*B$42*1000</f>
        <v>10.258723250258015</v>
      </c>
      <c r="G32" s="40">
        <f>E32*B$39</f>
        <v>32.827914400825655</v>
      </c>
      <c r="H32" s="4"/>
      <c r="I32" s="27">
        <f>0.00001*(F$44/B16)^D$45</f>
        <v>2.374704456078244E-05</v>
      </c>
      <c r="J32" s="25">
        <f>I32*B16*D$46/B$44</f>
        <v>0.03486624895512529</v>
      </c>
      <c r="K32" s="25">
        <f>B$45*J32</f>
        <v>0.17781786967113894</v>
      </c>
      <c r="L32" s="26">
        <f>(D16-D15)*K32*(D$46-1)/D$46</f>
        <v>0</v>
      </c>
    </row>
    <row r="33" spans="1:12" ht="18" customHeight="1" thickBot="1" thickTop="1">
      <c r="A33" s="14" t="s">
        <v>38</v>
      </c>
      <c r="B33" s="41">
        <f>SUM(B27:B32)</f>
        <v>1</v>
      </c>
      <c r="C33" s="41">
        <f>SUM(C27:C32)</f>
        <v>0.9999999999999999</v>
      </c>
      <c r="D33" s="41">
        <f>SUM(D27:D32)</f>
        <v>5.099999999999999</v>
      </c>
      <c r="E33" s="41">
        <f>SUM(E27:E32)</f>
        <v>0.01827546851969262</v>
      </c>
      <c r="F33" s="66">
        <f>SUM(F27:F32)</f>
        <v>431999.99999999994</v>
      </c>
      <c r="G33" s="66">
        <f>SUM(G27:G32)</f>
        <v>274.13202779538926</v>
      </c>
      <c r="H33" s="4"/>
      <c r="I33" s="14"/>
      <c r="J33" s="14"/>
      <c r="K33" s="28"/>
      <c r="L33" s="29">
        <f>SUM(L27:L32)</f>
        <v>0.01827546851969262</v>
      </c>
    </row>
    <row r="34" spans="3:10" ht="15" customHeight="1" thickTop="1">
      <c r="C34" s="4"/>
      <c r="D34" s="4"/>
      <c r="E34" s="4"/>
      <c r="F34" s="4"/>
      <c r="H34" s="4"/>
      <c r="I34" s="4"/>
      <c r="J34" s="4"/>
    </row>
    <row r="35" spans="1:10" ht="15" customHeight="1" thickBot="1">
      <c r="A35" s="4"/>
      <c r="B35" s="4"/>
      <c r="C35" s="4"/>
      <c r="D35" s="4"/>
      <c r="E35" s="4"/>
      <c r="F35" s="4"/>
      <c r="G35" s="5"/>
      <c r="H35" s="4"/>
      <c r="I35" s="4"/>
      <c r="J35" s="4"/>
    </row>
    <row r="36" spans="1:10" ht="15" customHeight="1" thickTop="1">
      <c r="A36" s="42" t="s">
        <v>48</v>
      </c>
      <c r="B36" s="43"/>
      <c r="C36" s="43"/>
      <c r="D36" s="43"/>
      <c r="E36" s="43"/>
      <c r="F36" s="44"/>
      <c r="G36" s="6"/>
      <c r="H36" s="4"/>
      <c r="I36" s="4"/>
      <c r="J36" s="4"/>
    </row>
    <row r="37" spans="1:10" ht="15" customHeight="1">
      <c r="A37" s="45"/>
      <c r="B37" s="46"/>
      <c r="C37" s="46"/>
      <c r="D37" s="46"/>
      <c r="E37" s="46"/>
      <c r="F37" s="47"/>
      <c r="G37" s="6"/>
      <c r="H37" s="4"/>
      <c r="I37" s="4"/>
      <c r="J37" s="4"/>
    </row>
    <row r="38" spans="1:10" ht="15" customHeight="1" thickBot="1">
      <c r="A38" s="48"/>
      <c r="B38" s="49"/>
      <c r="C38" s="49"/>
      <c r="D38" s="49"/>
      <c r="E38" s="49"/>
      <c r="F38" s="50"/>
      <c r="G38" s="4"/>
      <c r="H38" s="4"/>
      <c r="I38" s="4"/>
      <c r="J38" s="4"/>
    </row>
    <row r="39" spans="1:10" ht="30" customHeight="1" thickTop="1">
      <c r="A39" s="8" t="s">
        <v>4</v>
      </c>
      <c r="B39" s="51">
        <v>15000</v>
      </c>
      <c r="C39" s="8" t="s">
        <v>26</v>
      </c>
      <c r="D39" s="35">
        <v>0.65</v>
      </c>
      <c r="E39" s="8" t="s">
        <v>29</v>
      </c>
      <c r="F39" s="11">
        <f>10*D39*B$44/D$46</f>
        <v>442708.33333333326</v>
      </c>
      <c r="G39" s="4"/>
      <c r="H39" s="4"/>
      <c r="I39" s="4"/>
      <c r="J39" s="4"/>
    </row>
    <row r="40" spans="1:10" ht="30" customHeight="1">
      <c r="A40" s="52" t="s">
        <v>3</v>
      </c>
      <c r="B40" s="12">
        <v>540</v>
      </c>
      <c r="C40" s="52" t="s">
        <v>27</v>
      </c>
      <c r="D40" s="38">
        <v>0.45</v>
      </c>
      <c r="E40" s="52" t="s">
        <v>30</v>
      </c>
      <c r="F40" s="13">
        <f>20*D40*B$44/D$46</f>
        <v>612980.7692307691</v>
      </c>
      <c r="G40" s="4"/>
      <c r="H40" s="4"/>
      <c r="I40" s="4"/>
      <c r="J40" s="4"/>
    </row>
    <row r="41" spans="1:10" ht="30" customHeight="1">
      <c r="A41" s="52" t="s">
        <v>9</v>
      </c>
      <c r="B41" s="25">
        <v>0.8</v>
      </c>
      <c r="C41" s="52" t="s">
        <v>28</v>
      </c>
      <c r="D41" s="38">
        <v>0.28</v>
      </c>
      <c r="E41" s="52" t="s">
        <v>31</v>
      </c>
      <c r="F41" s="13">
        <f>100*D41*B$44/D$46</f>
        <v>1907051.2820512818</v>
      </c>
      <c r="G41" s="4"/>
      <c r="H41" s="4"/>
      <c r="I41" s="4"/>
      <c r="J41" s="4"/>
    </row>
    <row r="42" spans="1:10" ht="30" customHeight="1">
      <c r="A42" s="52" t="s">
        <v>11</v>
      </c>
      <c r="B42" s="53">
        <f>B41*B40</f>
        <v>432</v>
      </c>
      <c r="C42" s="52" t="s">
        <v>35</v>
      </c>
      <c r="D42" s="38">
        <v>0.12</v>
      </c>
      <c r="E42" s="52" t="s">
        <v>32</v>
      </c>
      <c r="F42" s="13">
        <f>1000*D42*B$44/D$46</f>
        <v>8173076.923076921</v>
      </c>
      <c r="G42" s="4"/>
      <c r="H42" s="4"/>
      <c r="I42" s="4"/>
      <c r="J42" s="4"/>
    </row>
    <row r="43" spans="1:10" ht="30" customHeight="1">
      <c r="A43" s="52" t="s">
        <v>0</v>
      </c>
      <c r="B43" s="13">
        <f>1000*B39/(B40*B41)</f>
        <v>34722.22222222222</v>
      </c>
      <c r="C43" s="52" t="s">
        <v>36</v>
      </c>
      <c r="D43" s="38">
        <v>0.05</v>
      </c>
      <c r="E43" s="52" t="s">
        <v>33</v>
      </c>
      <c r="F43" s="13">
        <f>10000*D43*B$44/D$46</f>
        <v>34054487.179487176</v>
      </c>
      <c r="G43" s="4"/>
      <c r="H43" s="4"/>
      <c r="I43" s="4"/>
      <c r="J43" s="4"/>
    </row>
    <row r="44" spans="1:10" ht="30" customHeight="1">
      <c r="A44" s="52" t="s">
        <v>6</v>
      </c>
      <c r="B44" s="13">
        <f>B45*B43</f>
        <v>177083.3333333333</v>
      </c>
      <c r="C44" s="52" t="s">
        <v>37</v>
      </c>
      <c r="D44" s="38">
        <v>0.025</v>
      </c>
      <c r="E44" s="52" t="s">
        <v>34</v>
      </c>
      <c r="F44" s="13">
        <f>100000*D44*B$44/D$46</f>
        <v>170272435.89743587</v>
      </c>
      <c r="G44" s="4"/>
      <c r="H44" s="4"/>
      <c r="I44" s="4"/>
      <c r="J44" s="4"/>
    </row>
    <row r="45" spans="1:10" ht="30" customHeight="1">
      <c r="A45" s="52" t="s">
        <v>7</v>
      </c>
      <c r="B45" s="25">
        <v>5.1</v>
      </c>
      <c r="C45" s="52" t="s">
        <v>1</v>
      </c>
      <c r="D45" s="54">
        <f>D46/(D46-1)</f>
        <v>1.625</v>
      </c>
      <c r="E45" s="12"/>
      <c r="F45" s="12"/>
      <c r="G45" s="4"/>
      <c r="H45" s="4"/>
      <c r="I45" s="4"/>
      <c r="J45" s="4"/>
    </row>
    <row r="46" spans="1:10" ht="30" customHeight="1" thickBot="1">
      <c r="A46" s="28"/>
      <c r="B46" s="28"/>
      <c r="C46" s="55" t="s">
        <v>2</v>
      </c>
      <c r="D46" s="56">
        <v>2.6</v>
      </c>
      <c r="E46" s="14"/>
      <c r="F46" s="14"/>
      <c r="G46" s="4"/>
      <c r="H46" s="4"/>
      <c r="I46" s="4"/>
      <c r="J46" s="4"/>
    </row>
    <row r="47" spans="1:10" ht="15" customHeight="1" thickTop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" customHeight="1">
      <c r="A48" s="16" t="s">
        <v>8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5" customHeight="1">
      <c r="A49" s="16" t="s">
        <v>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5" customHeight="1">
      <c r="A50" s="16" t="s">
        <v>49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5" customHeight="1">
      <c r="A51" s="16" t="s">
        <v>50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5" customHeight="1">
      <c r="A52" s="16" t="s">
        <v>10</v>
      </c>
      <c r="B52" s="4"/>
      <c r="E52" s="4"/>
      <c r="F52" s="4"/>
      <c r="G52" s="4"/>
      <c r="H52" s="4"/>
      <c r="I52" s="4"/>
      <c r="J52" s="4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20">
    <mergeCell ref="A36:F38"/>
    <mergeCell ref="A3:G5"/>
    <mergeCell ref="B18:G19"/>
    <mergeCell ref="B7:D7"/>
    <mergeCell ref="B8:D8"/>
    <mergeCell ref="D9:D10"/>
    <mergeCell ref="B9:C9"/>
    <mergeCell ref="B20:B26"/>
    <mergeCell ref="I20:I26"/>
    <mergeCell ref="C20:D23"/>
    <mergeCell ref="C24:C26"/>
    <mergeCell ref="D24:D26"/>
    <mergeCell ref="E20:E26"/>
    <mergeCell ref="J20:K23"/>
    <mergeCell ref="J24:J26"/>
    <mergeCell ref="K24:K26"/>
    <mergeCell ref="L20:L26"/>
    <mergeCell ref="I18:L19"/>
    <mergeCell ref="F20:F26"/>
    <mergeCell ref="G20:G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8.7109375" style="1" customWidth="1"/>
    <col min="8" max="17" width="15.7109375" style="1" customWidth="1"/>
    <col min="18" max="16384" width="11.57421875" style="1" customWidth="1"/>
  </cols>
  <sheetData>
    <row r="2" ht="13.5" thickBot="1"/>
    <row r="3" spans="1:7" ht="13.5" thickTop="1">
      <c r="A3" s="57" t="s">
        <v>54</v>
      </c>
      <c r="B3" s="58"/>
      <c r="C3" s="58"/>
      <c r="D3" s="58"/>
      <c r="E3" s="58"/>
      <c r="F3" s="58"/>
      <c r="G3" s="59"/>
    </row>
    <row r="4" spans="1:7" ht="12.75">
      <c r="A4" s="60"/>
      <c r="B4" s="61"/>
      <c r="C4" s="61"/>
      <c r="D4" s="61"/>
      <c r="E4" s="61"/>
      <c r="F4" s="61"/>
      <c r="G4" s="62"/>
    </row>
    <row r="5" spans="1:7" ht="13.5" thickBot="1">
      <c r="A5" s="63"/>
      <c r="B5" s="64"/>
      <c r="C5" s="64"/>
      <c r="D5" s="64"/>
      <c r="E5" s="64"/>
      <c r="F5" s="64"/>
      <c r="G5" s="65"/>
    </row>
    <row r="6" spans="1:10" ht="15.75" thickBot="1" thickTop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9.5" customHeight="1" thickTop="1">
      <c r="A7" s="69"/>
      <c r="B7" s="57" t="s">
        <v>52</v>
      </c>
      <c r="C7" s="58"/>
      <c r="D7" s="59"/>
      <c r="H7" s="2"/>
      <c r="I7" s="2"/>
      <c r="J7" s="2"/>
    </row>
    <row r="8" spans="1:10" ht="19.5" customHeight="1" thickBot="1">
      <c r="A8" s="70"/>
      <c r="B8" s="77" t="s">
        <v>53</v>
      </c>
      <c r="C8" s="78"/>
      <c r="D8" s="79"/>
      <c r="H8" s="2"/>
      <c r="I8" s="2"/>
      <c r="J8" s="2"/>
    </row>
    <row r="9" spans="1:4" ht="24.75" customHeight="1" thickBot="1" thickTop="1">
      <c r="A9" s="2"/>
      <c r="B9" s="18" t="s">
        <v>15</v>
      </c>
      <c r="C9" s="19"/>
      <c r="D9" s="9" t="s">
        <v>24</v>
      </c>
    </row>
    <row r="10" spans="1:4" ht="24.75" customHeight="1" thickBot="1" thickTop="1">
      <c r="A10" s="2"/>
      <c r="B10" s="8" t="s">
        <v>13</v>
      </c>
      <c r="C10" s="8" t="s">
        <v>14</v>
      </c>
      <c r="D10" s="17"/>
    </row>
    <row r="11" spans="1:4" ht="15" customHeight="1" thickTop="1">
      <c r="A11" s="10" t="s">
        <v>18</v>
      </c>
      <c r="B11" s="71">
        <v>0</v>
      </c>
      <c r="C11" s="11">
        <f>B12</f>
        <v>200000</v>
      </c>
      <c r="D11" s="74">
        <v>0.001</v>
      </c>
    </row>
    <row r="12" spans="1:4" ht="15" customHeight="1">
      <c r="A12" s="12" t="s">
        <v>19</v>
      </c>
      <c r="B12" s="72">
        <v>200000</v>
      </c>
      <c r="C12" s="13">
        <f>B13</f>
        <v>1000000</v>
      </c>
      <c r="D12" s="75">
        <v>0.005</v>
      </c>
    </row>
    <row r="13" spans="1:4" ht="15" customHeight="1">
      <c r="A13" s="12" t="s">
        <v>20</v>
      </c>
      <c r="B13" s="72">
        <v>1000000</v>
      </c>
      <c r="C13" s="13">
        <f>B14</f>
        <v>5000000</v>
      </c>
      <c r="D13" s="75">
        <v>0.01</v>
      </c>
    </row>
    <row r="14" spans="1:4" ht="15" customHeight="1">
      <c r="A14" s="12" t="s">
        <v>21</v>
      </c>
      <c r="B14" s="72">
        <v>5000000</v>
      </c>
      <c r="C14" s="13">
        <f>B15</f>
        <v>20000000</v>
      </c>
      <c r="D14" s="75">
        <v>0.02</v>
      </c>
    </row>
    <row r="15" spans="1:4" ht="15" customHeight="1">
      <c r="A15" s="12" t="s">
        <v>22</v>
      </c>
      <c r="B15" s="72">
        <v>20000000</v>
      </c>
      <c r="C15" s="13">
        <f>B16</f>
        <v>100000000</v>
      </c>
      <c r="D15" s="75">
        <v>0.05</v>
      </c>
    </row>
    <row r="16" spans="1:4" ht="15" customHeight="1" thickBot="1">
      <c r="A16" s="14" t="s">
        <v>23</v>
      </c>
      <c r="B16" s="73">
        <v>100000000</v>
      </c>
      <c r="C16" s="15" t="s">
        <v>12</v>
      </c>
      <c r="D16" s="76">
        <v>0.1</v>
      </c>
    </row>
    <row r="17" spans="1:10" ht="15" customHeight="1" thickBot="1" thickTop="1">
      <c r="A17" s="4"/>
      <c r="B17" s="4"/>
      <c r="C17" s="4"/>
      <c r="D17" s="4"/>
      <c r="H17" s="4"/>
      <c r="I17" s="4"/>
      <c r="J17" s="4"/>
    </row>
    <row r="18" spans="1:12" ht="15" customHeight="1" thickTop="1">
      <c r="A18" s="67"/>
      <c r="B18" s="57" t="s">
        <v>25</v>
      </c>
      <c r="C18" s="58"/>
      <c r="D18" s="58"/>
      <c r="E18" s="58"/>
      <c r="F18" s="58"/>
      <c r="G18" s="59"/>
      <c r="H18" s="4"/>
      <c r="I18" s="3" t="s">
        <v>45</v>
      </c>
      <c r="J18" s="30"/>
      <c r="K18" s="30"/>
      <c r="L18" s="31"/>
    </row>
    <row r="19" spans="1:12" ht="15" customHeight="1" thickBot="1">
      <c r="A19" s="68"/>
      <c r="B19" s="63"/>
      <c r="C19" s="64"/>
      <c r="D19" s="64"/>
      <c r="E19" s="64"/>
      <c r="F19" s="64"/>
      <c r="G19" s="65"/>
      <c r="H19" s="4"/>
      <c r="I19" s="32"/>
      <c r="J19" s="33"/>
      <c r="K19" s="33"/>
      <c r="L19" s="34"/>
    </row>
    <row r="20" spans="1:12" ht="15" customHeight="1" thickBot="1" thickTop="1">
      <c r="A20" s="4"/>
      <c r="B20" s="9" t="s">
        <v>16</v>
      </c>
      <c r="C20" s="7" t="s">
        <v>17</v>
      </c>
      <c r="D20" s="7"/>
      <c r="E20" s="9" t="s">
        <v>44</v>
      </c>
      <c r="F20" s="9" t="s">
        <v>46</v>
      </c>
      <c r="G20" s="9" t="s">
        <v>47</v>
      </c>
      <c r="H20" s="4"/>
      <c r="I20" s="9" t="s">
        <v>39</v>
      </c>
      <c r="J20" s="7" t="s">
        <v>42</v>
      </c>
      <c r="K20" s="7"/>
      <c r="L20" s="9" t="s">
        <v>43</v>
      </c>
    </row>
    <row r="21" spans="1:12" ht="15" customHeight="1" thickBot="1" thickTop="1">
      <c r="A21" s="4"/>
      <c r="B21" s="20"/>
      <c r="C21" s="7"/>
      <c r="D21" s="7"/>
      <c r="E21" s="20"/>
      <c r="F21" s="20"/>
      <c r="G21" s="20"/>
      <c r="H21" s="4"/>
      <c r="I21" s="20"/>
      <c r="J21" s="7"/>
      <c r="K21" s="7"/>
      <c r="L21" s="20"/>
    </row>
    <row r="22" spans="1:12" ht="15" customHeight="1" thickBot="1" thickTop="1">
      <c r="A22" s="4"/>
      <c r="B22" s="20"/>
      <c r="C22" s="7"/>
      <c r="D22" s="7"/>
      <c r="E22" s="20"/>
      <c r="F22" s="20"/>
      <c r="G22" s="20"/>
      <c r="H22" s="4"/>
      <c r="I22" s="20"/>
      <c r="J22" s="7"/>
      <c r="K22" s="7"/>
      <c r="L22" s="20"/>
    </row>
    <row r="23" spans="1:12" ht="15" customHeight="1" thickBot="1" thickTop="1">
      <c r="A23" s="4"/>
      <c r="B23" s="20"/>
      <c r="C23" s="7"/>
      <c r="D23" s="7"/>
      <c r="E23" s="20"/>
      <c r="F23" s="20"/>
      <c r="G23" s="20"/>
      <c r="H23" s="4"/>
      <c r="I23" s="20"/>
      <c r="J23" s="7"/>
      <c r="K23" s="7"/>
      <c r="L23" s="20"/>
    </row>
    <row r="24" spans="1:12" ht="15" customHeight="1" thickBot="1" thickTop="1">
      <c r="A24" s="4"/>
      <c r="B24" s="20"/>
      <c r="C24" s="7" t="s">
        <v>40</v>
      </c>
      <c r="D24" s="7" t="s">
        <v>41</v>
      </c>
      <c r="E24" s="20"/>
      <c r="F24" s="20"/>
      <c r="G24" s="20"/>
      <c r="H24" s="4"/>
      <c r="I24" s="20"/>
      <c r="J24" s="7" t="s">
        <v>40</v>
      </c>
      <c r="K24" s="7" t="s">
        <v>41</v>
      </c>
      <c r="L24" s="20"/>
    </row>
    <row r="25" spans="1:12" ht="15" customHeight="1" thickBot="1" thickTop="1">
      <c r="A25" s="4"/>
      <c r="B25" s="20"/>
      <c r="C25" s="7"/>
      <c r="D25" s="7"/>
      <c r="E25" s="20"/>
      <c r="F25" s="20"/>
      <c r="G25" s="20"/>
      <c r="H25" s="4"/>
      <c r="I25" s="20"/>
      <c r="J25" s="7"/>
      <c r="K25" s="7"/>
      <c r="L25" s="20"/>
    </row>
    <row r="26" spans="1:12" ht="15" customHeight="1" thickBot="1" thickTop="1">
      <c r="A26" s="4"/>
      <c r="B26" s="17"/>
      <c r="C26" s="7"/>
      <c r="D26" s="7"/>
      <c r="E26" s="17"/>
      <c r="F26" s="17"/>
      <c r="G26" s="17"/>
      <c r="H26" s="4"/>
      <c r="I26" s="17"/>
      <c r="J26" s="7"/>
      <c r="K26" s="7"/>
      <c r="L26" s="17"/>
    </row>
    <row r="27" spans="1:12" ht="15" customHeight="1" thickTop="1">
      <c r="A27" s="10" t="s">
        <v>18</v>
      </c>
      <c r="B27" s="35">
        <f>I27-I28</f>
        <v>0.6362797217223003</v>
      </c>
      <c r="C27" s="35">
        <f>J27-J28</f>
        <v>0.050000000000000044</v>
      </c>
      <c r="D27" s="36">
        <f>K27-K28</f>
        <v>0.2549999999999999</v>
      </c>
      <c r="E27" s="36">
        <f>L$27*D27/K$27</f>
        <v>0.00015692307692307685</v>
      </c>
      <c r="F27" s="37">
        <f>B27*B$42*1000</f>
        <v>274872.8397840337</v>
      </c>
      <c r="G27" s="37">
        <f>E27*B$39</f>
        <v>2.3538461538461526</v>
      </c>
      <c r="H27" s="4"/>
      <c r="I27" s="21">
        <v>1</v>
      </c>
      <c r="J27" s="22">
        <v>1</v>
      </c>
      <c r="K27" s="22">
        <f>B$45*J27</f>
        <v>5.1</v>
      </c>
      <c r="L27" s="23">
        <f>D11*K27*(D$46-1)/D$46</f>
        <v>0.003138461538461538</v>
      </c>
    </row>
    <row r="28" spans="1:12" ht="15" customHeight="1">
      <c r="A28" s="12" t="s">
        <v>19</v>
      </c>
      <c r="B28" s="38">
        <f>I28-I29</f>
        <v>0.335171412811793</v>
      </c>
      <c r="C28" s="38">
        <f aca="true" t="shared" si="0" ref="C28:D32">J28-J29</f>
        <v>0.5308354811593937</v>
      </c>
      <c r="D28" s="39">
        <f t="shared" si="0"/>
        <v>2.707260953912908</v>
      </c>
      <c r="E28" s="39">
        <f>L$27*D28/K$27+L$28*D28/K$28</f>
        <v>0.008330033704347409</v>
      </c>
      <c r="F28" s="40">
        <f>B28*B$42*1000</f>
        <v>144794.0503346946</v>
      </c>
      <c r="G28" s="40">
        <f>E28*B$39</f>
        <v>124.95050556521113</v>
      </c>
      <c r="H28" s="4"/>
      <c r="I28" s="24">
        <f>0.1*(F$39/B12)^D$45</f>
        <v>0.3637202782776997</v>
      </c>
      <c r="J28" s="25">
        <f>IF(I28*B12*D$46/B$44&lt;1,I28*B12*D$46/B$44,0.95)</f>
        <v>0.95</v>
      </c>
      <c r="K28" s="25">
        <f>B$45*J28</f>
        <v>4.845</v>
      </c>
      <c r="L28" s="26">
        <f>(D12-D11)*K28*(D$46-1)/D$46</f>
        <v>0.011926153846153845</v>
      </c>
    </row>
    <row r="29" spans="1:12" ht="15" customHeight="1">
      <c r="A29" s="12" t="s">
        <v>20</v>
      </c>
      <c r="B29" s="38">
        <f>I29-I30</f>
        <v>0.026326577569638084</v>
      </c>
      <c r="C29" s="38">
        <f t="shared" si="0"/>
        <v>0.2560224426910065</v>
      </c>
      <c r="D29" s="39">
        <f t="shared" si="0"/>
        <v>1.3057144577241333</v>
      </c>
      <c r="E29" s="39">
        <f>L$27*D29/K$27+L$28*D29/K$28+L$29*D29/K$29</f>
        <v>0.008035165893686974</v>
      </c>
      <c r="F29" s="40">
        <f>B29*B$42*1000</f>
        <v>11373.081510083653</v>
      </c>
      <c r="G29" s="40">
        <f>E29*B$39</f>
        <v>120.52748840530461</v>
      </c>
      <c r="H29" s="4"/>
      <c r="I29" s="24">
        <f>0.01*(F$41/B13)^D$45</f>
        <v>0.02854886546590667</v>
      </c>
      <c r="J29" s="25">
        <f>I29*B13*D$46/B$44</f>
        <v>0.41916451884060624</v>
      </c>
      <c r="K29" s="25">
        <f>B$45*J29</f>
        <v>2.1377390460870918</v>
      </c>
      <c r="L29" s="26">
        <f>(D13-D12)*K29*(D$46-1)/D$46</f>
        <v>0.006577658603344898</v>
      </c>
    </row>
    <row r="30" spans="1:12" ht="15" customHeight="1">
      <c r="A30" s="12" t="s">
        <v>21</v>
      </c>
      <c r="B30" s="24">
        <f>I30-I31</f>
        <v>0.001984817450660761</v>
      </c>
      <c r="C30" s="38">
        <f t="shared" si="0"/>
        <v>0.09340957823934914</v>
      </c>
      <c r="D30" s="39">
        <f t="shared" si="0"/>
        <v>0.4763888490206807</v>
      </c>
      <c r="E30" s="39">
        <f>L$27*D30/K$27+L$28*D30/K$28+L$29*D30/K$29+L$30*D30/K$30</f>
        <v>0.005863247372562224</v>
      </c>
      <c r="F30" s="40">
        <f>B30*B$42*1000</f>
        <v>857.4411386854488</v>
      </c>
      <c r="G30" s="40">
        <f>E30*B$39</f>
        <v>87.94871058843337</v>
      </c>
      <c r="H30" s="4"/>
      <c r="I30" s="24">
        <f>0.001*(F$42/B14)^D$45</f>
        <v>0.0022222878962685857</v>
      </c>
      <c r="J30" s="25">
        <f>I30*B14*D$46/B$44</f>
        <v>0.16314207614959972</v>
      </c>
      <c r="K30" s="25">
        <f>B$45*J30</f>
        <v>0.8320245883629586</v>
      </c>
      <c r="L30" s="26">
        <f>(D14-D13)*K30*(D$46-1)/D$46</f>
        <v>0.005120151313002822</v>
      </c>
    </row>
    <row r="31" spans="1:12" ht="15" customHeight="1">
      <c r="A31" s="12" t="s">
        <v>22</v>
      </c>
      <c r="B31" s="24">
        <f>I31-I32</f>
        <v>0.00021372340104704198</v>
      </c>
      <c r="C31" s="38">
        <f t="shared" si="0"/>
        <v>0.03486624895512529</v>
      </c>
      <c r="D31" s="39">
        <f t="shared" si="0"/>
        <v>0.17781786967113894</v>
      </c>
      <c r="E31" s="39">
        <f>L$27*D31/K$27+L$28*D31/K$28+L$29*D31/K$29+L$30*D31/K$30+L$31*D31/K$31</f>
        <v>0.005471319066804275</v>
      </c>
      <c r="F31" s="40">
        <f>B31*B$42*1000</f>
        <v>92.32850925232214</v>
      </c>
      <c r="G31" s="40">
        <f>E31*B$39</f>
        <v>82.06978600206413</v>
      </c>
      <c r="H31" s="4"/>
      <c r="I31" s="24">
        <f>0.0001*(F$43/B15)^D$45</f>
        <v>0.00023747044560782442</v>
      </c>
      <c r="J31" s="25">
        <f>I31*B15*D$46/B$44</f>
        <v>0.06973249791025057</v>
      </c>
      <c r="K31" s="25">
        <f>B$45*J31</f>
        <v>0.3556357393422779</v>
      </c>
      <c r="L31" s="26">
        <f>(D15-D14)*K31*(D$46-1)/D$46</f>
        <v>0.00656558288016513</v>
      </c>
    </row>
    <row r="32" spans="1:12" ht="15" customHeight="1" thickBot="1">
      <c r="A32" s="14" t="s">
        <v>23</v>
      </c>
      <c r="B32" s="27">
        <f>I32-J17</f>
        <v>2.374704456078244E-05</v>
      </c>
      <c r="C32" s="38">
        <f t="shared" si="0"/>
        <v>0.03486624895512529</v>
      </c>
      <c r="D32" s="39">
        <f t="shared" si="0"/>
        <v>0.17781786967113894</v>
      </c>
      <c r="E32" s="39">
        <f>L$27*D32/K$27+L$28*D32/K$28+L$29*D32/K$29+L$30*D32/K$30+L$31*D32/K$31+L$32*D32/K$32</f>
        <v>0.010942638133608549</v>
      </c>
      <c r="F32" s="40">
        <f>B32*B$42*1000</f>
        <v>10.258723250258015</v>
      </c>
      <c r="G32" s="40">
        <f>E32*B$39</f>
        <v>164.13957200412824</v>
      </c>
      <c r="H32" s="4"/>
      <c r="I32" s="27">
        <f>0.00001*(F$44/B16)^D$45</f>
        <v>2.374704456078244E-05</v>
      </c>
      <c r="J32" s="25">
        <f>I32*B16*D$46/B$44</f>
        <v>0.03486624895512529</v>
      </c>
      <c r="K32" s="25">
        <f>B$45*J32</f>
        <v>0.17781786967113894</v>
      </c>
      <c r="L32" s="26">
        <f>(D16-D15)*K32*(D$46-1)/D$46</f>
        <v>0.0054713190668042744</v>
      </c>
    </row>
    <row r="33" spans="1:12" ht="18" customHeight="1" thickBot="1" thickTop="1">
      <c r="A33" s="14" t="s">
        <v>38</v>
      </c>
      <c r="B33" s="41">
        <f>SUM(B27:B32)</f>
        <v>1</v>
      </c>
      <c r="C33" s="41">
        <f>SUM(C27:C32)</f>
        <v>0.9999999999999999</v>
      </c>
      <c r="D33" s="41">
        <f>SUM(D27:D32)</f>
        <v>5.099999999999999</v>
      </c>
      <c r="E33" s="41">
        <f>SUM(E27:E32)</f>
        <v>0.03879932724793251</v>
      </c>
      <c r="F33" s="66">
        <f>SUM(F27:F32)</f>
        <v>431999.99999999994</v>
      </c>
      <c r="G33" s="66">
        <f>SUM(G27:G32)</f>
        <v>581.9899087189876</v>
      </c>
      <c r="H33" s="4"/>
      <c r="I33" s="14"/>
      <c r="J33" s="14"/>
      <c r="K33" s="28"/>
      <c r="L33" s="29">
        <f>SUM(L27:L32)</f>
        <v>0.0387993272479325</v>
      </c>
    </row>
    <row r="34" spans="3:10" ht="15" customHeight="1" thickTop="1">
      <c r="C34" s="4"/>
      <c r="D34" s="4"/>
      <c r="E34" s="4"/>
      <c r="F34" s="4"/>
      <c r="H34" s="4"/>
      <c r="I34" s="4"/>
      <c r="J34" s="4"/>
    </row>
    <row r="35" spans="1:10" ht="15" customHeight="1" thickBot="1">
      <c r="A35" s="4"/>
      <c r="B35" s="4"/>
      <c r="C35" s="4"/>
      <c r="D35" s="4"/>
      <c r="E35" s="4"/>
      <c r="F35" s="4"/>
      <c r="G35" s="5"/>
      <c r="H35" s="4"/>
      <c r="I35" s="4"/>
      <c r="J35" s="4"/>
    </row>
    <row r="36" spans="1:10" ht="15" customHeight="1" thickTop="1">
      <c r="A36" s="42" t="s">
        <v>48</v>
      </c>
      <c r="B36" s="43"/>
      <c r="C36" s="43"/>
      <c r="D36" s="43"/>
      <c r="E36" s="43"/>
      <c r="F36" s="44"/>
      <c r="G36" s="6"/>
      <c r="H36" s="4"/>
      <c r="I36" s="4"/>
      <c r="J36" s="4"/>
    </row>
    <row r="37" spans="1:10" ht="15" customHeight="1">
      <c r="A37" s="45"/>
      <c r="B37" s="46"/>
      <c r="C37" s="46"/>
      <c r="D37" s="46"/>
      <c r="E37" s="46"/>
      <c r="F37" s="47"/>
      <c r="G37" s="6"/>
      <c r="H37" s="4"/>
      <c r="I37" s="4"/>
      <c r="J37" s="4"/>
    </row>
    <row r="38" spans="1:10" ht="15" customHeight="1" thickBot="1">
      <c r="A38" s="48"/>
      <c r="B38" s="49"/>
      <c r="C38" s="49"/>
      <c r="D38" s="49"/>
      <c r="E38" s="49"/>
      <c r="F38" s="50"/>
      <c r="G38" s="4"/>
      <c r="H38" s="4"/>
      <c r="I38" s="4"/>
      <c r="J38" s="4"/>
    </row>
    <row r="39" spans="1:10" ht="30" customHeight="1" thickTop="1">
      <c r="A39" s="8" t="s">
        <v>4</v>
      </c>
      <c r="B39" s="51">
        <v>15000</v>
      </c>
      <c r="C39" s="8" t="s">
        <v>26</v>
      </c>
      <c r="D39" s="35">
        <v>0.65</v>
      </c>
      <c r="E39" s="8" t="s">
        <v>29</v>
      </c>
      <c r="F39" s="11">
        <f>10*D39*B$44/D$46</f>
        <v>442708.33333333326</v>
      </c>
      <c r="G39" s="4"/>
      <c r="H39" s="4"/>
      <c r="I39" s="4"/>
      <c r="J39" s="4"/>
    </row>
    <row r="40" spans="1:10" ht="30" customHeight="1">
      <c r="A40" s="52" t="s">
        <v>3</v>
      </c>
      <c r="B40" s="12">
        <v>540</v>
      </c>
      <c r="C40" s="52" t="s">
        <v>27</v>
      </c>
      <c r="D40" s="38">
        <v>0.45</v>
      </c>
      <c r="E40" s="52" t="s">
        <v>30</v>
      </c>
      <c r="F40" s="13">
        <f>20*D40*B$44/D$46</f>
        <v>612980.7692307691</v>
      </c>
      <c r="G40" s="4"/>
      <c r="H40" s="4"/>
      <c r="I40" s="4"/>
      <c r="J40" s="4"/>
    </row>
    <row r="41" spans="1:10" ht="30" customHeight="1">
      <c r="A41" s="52" t="s">
        <v>9</v>
      </c>
      <c r="B41" s="25">
        <v>0.8</v>
      </c>
      <c r="C41" s="52" t="s">
        <v>28</v>
      </c>
      <c r="D41" s="38">
        <v>0.28</v>
      </c>
      <c r="E41" s="52" t="s">
        <v>31</v>
      </c>
      <c r="F41" s="13">
        <f>100*D41*B$44/D$46</f>
        <v>1907051.2820512818</v>
      </c>
      <c r="G41" s="4"/>
      <c r="H41" s="4"/>
      <c r="I41" s="4"/>
      <c r="J41" s="4"/>
    </row>
    <row r="42" spans="1:10" ht="30" customHeight="1">
      <c r="A42" s="52" t="s">
        <v>11</v>
      </c>
      <c r="B42" s="53">
        <f>B41*B40</f>
        <v>432</v>
      </c>
      <c r="C42" s="52" t="s">
        <v>35</v>
      </c>
      <c r="D42" s="38">
        <v>0.12</v>
      </c>
      <c r="E42" s="52" t="s">
        <v>32</v>
      </c>
      <c r="F42" s="13">
        <f>1000*D42*B$44/D$46</f>
        <v>8173076.923076921</v>
      </c>
      <c r="G42" s="4"/>
      <c r="H42" s="4"/>
      <c r="I42" s="4"/>
      <c r="J42" s="4"/>
    </row>
    <row r="43" spans="1:10" ht="30" customHeight="1">
      <c r="A43" s="52" t="s">
        <v>0</v>
      </c>
      <c r="B43" s="13">
        <f>1000*B39/(B40*B41)</f>
        <v>34722.22222222222</v>
      </c>
      <c r="C43" s="52" t="s">
        <v>36</v>
      </c>
      <c r="D43" s="38">
        <v>0.05</v>
      </c>
      <c r="E43" s="52" t="s">
        <v>33</v>
      </c>
      <c r="F43" s="13">
        <f>10000*D43*B$44/D$46</f>
        <v>34054487.179487176</v>
      </c>
      <c r="G43" s="4"/>
      <c r="H43" s="4"/>
      <c r="I43" s="4"/>
      <c r="J43" s="4"/>
    </row>
    <row r="44" spans="1:10" ht="30" customHeight="1">
      <c r="A44" s="52" t="s">
        <v>6</v>
      </c>
      <c r="B44" s="13">
        <f>B45*B43</f>
        <v>177083.3333333333</v>
      </c>
      <c r="C44" s="52" t="s">
        <v>37</v>
      </c>
      <c r="D44" s="38">
        <v>0.025</v>
      </c>
      <c r="E44" s="52" t="s">
        <v>34</v>
      </c>
      <c r="F44" s="13">
        <f>100000*D44*B$44/D$46</f>
        <v>170272435.89743587</v>
      </c>
      <c r="G44" s="4"/>
      <c r="H44" s="4"/>
      <c r="I44" s="4"/>
      <c r="J44" s="4"/>
    </row>
    <row r="45" spans="1:10" ht="30" customHeight="1">
      <c r="A45" s="52" t="s">
        <v>7</v>
      </c>
      <c r="B45" s="25">
        <v>5.1</v>
      </c>
      <c r="C45" s="52" t="s">
        <v>1</v>
      </c>
      <c r="D45" s="54">
        <f>D46/(D46-1)</f>
        <v>1.625</v>
      </c>
      <c r="E45" s="12"/>
      <c r="F45" s="12"/>
      <c r="G45" s="4"/>
      <c r="H45" s="4"/>
      <c r="I45" s="4"/>
      <c r="J45" s="4"/>
    </row>
    <row r="46" spans="1:10" ht="30" customHeight="1" thickBot="1">
      <c r="A46" s="28"/>
      <c r="B46" s="28"/>
      <c r="C46" s="55" t="s">
        <v>2</v>
      </c>
      <c r="D46" s="56">
        <v>2.6</v>
      </c>
      <c r="E46" s="14"/>
      <c r="F46" s="14"/>
      <c r="G46" s="4"/>
      <c r="H46" s="4"/>
      <c r="I46" s="4"/>
      <c r="J46" s="4"/>
    </row>
    <row r="47" spans="1:10" ht="15" customHeight="1" thickTop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" customHeight="1">
      <c r="A48" s="16" t="s">
        <v>8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5" customHeight="1">
      <c r="A49" s="16" t="s">
        <v>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5" customHeight="1">
      <c r="A50" s="16" t="s">
        <v>49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5" customHeight="1">
      <c r="A51" s="16" t="s">
        <v>50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5" customHeight="1">
      <c r="A52" s="16" t="s">
        <v>10</v>
      </c>
      <c r="B52" s="4"/>
      <c r="E52" s="4"/>
      <c r="F52" s="4"/>
      <c r="G52" s="4"/>
      <c r="H52" s="4"/>
      <c r="I52" s="4"/>
      <c r="J52" s="4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20">
    <mergeCell ref="D24:D26"/>
    <mergeCell ref="J24:J26"/>
    <mergeCell ref="K24:K26"/>
    <mergeCell ref="A36:F38"/>
    <mergeCell ref="I18:L19"/>
    <mergeCell ref="B20:B26"/>
    <mergeCell ref="C20:D23"/>
    <mergeCell ref="E20:E26"/>
    <mergeCell ref="F20:F26"/>
    <mergeCell ref="G20:G26"/>
    <mergeCell ref="I20:I26"/>
    <mergeCell ref="J20:K23"/>
    <mergeCell ref="L20:L26"/>
    <mergeCell ref="C24:C26"/>
    <mergeCell ref="A3:G5"/>
    <mergeCell ref="B7:D7"/>
    <mergeCell ref="B8:D8"/>
    <mergeCell ref="B9:C9"/>
    <mergeCell ref="D9:D10"/>
    <mergeCell ref="B18:G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Thomas Piketty</cp:lastModifiedBy>
  <cp:lastPrinted>2013-07-23T13:38:07Z</cp:lastPrinted>
  <dcterms:created xsi:type="dcterms:W3CDTF">2009-06-26T15:27:40Z</dcterms:created>
  <dcterms:modified xsi:type="dcterms:W3CDTF">2013-07-23T13:38:22Z</dcterms:modified>
  <cp:category/>
  <cp:version/>
  <cp:contentType/>
  <cp:contentStatus/>
</cp:coreProperties>
</file>