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8" windowWidth="14232" windowHeight="6912" activeTab="0"/>
  </bookViews>
  <sheets>
    <sheet name="TableC1" sheetId="1" r:id="rId1"/>
    <sheet name="TableC2" sheetId="2" r:id="rId2"/>
    <sheet name="TableC3" sheetId="3" r:id="rId3"/>
    <sheet name="TableC4" sheetId="4" r:id="rId4"/>
    <sheet name="TableC5" sheetId="5" r:id="rId5"/>
    <sheet name="TableC6" sheetId="6" r:id="rId6"/>
    <sheet name="TableC7" sheetId="7" r:id="rId7"/>
    <sheet name="TableC8" sheetId="8" r:id="rId8"/>
    <sheet name="TableC9" sheetId="9" r:id="rId9"/>
    <sheet name="TableC2(m)" sheetId="10" r:id="rId10"/>
    <sheet name="TableC2(f)" sheetId="11" r:id="rId11"/>
    <sheet name="TableC3(m)" sheetId="12" r:id="rId12"/>
    <sheet name="TableC3(f)" sheetId="13" r:id="rId13"/>
    <sheet name="TableC5(m)" sheetId="14" r:id="rId14"/>
    <sheet name="TableC5(f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<sst xmlns="http://schemas.openxmlformats.org/spreadsheetml/2006/main" count="455" uniqueCount="168">
  <si>
    <t>(thousands)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</si>
  <si>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</si>
  <si>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</si>
  <si>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</si>
  <si>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</si>
  <si>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</si>
  <si>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</si>
  <si>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</si>
  <si>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</si>
  <si>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</si>
  <si>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</si>
  <si>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Total  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</si>
  <si>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</si>
  <si>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</si>
  <si>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</si>
  <si>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</si>
  <si>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</si>
  <si>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</si>
  <si>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</si>
  <si>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</si>
  <si>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</si>
  <si>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Diverses séries brutes</t>
  </si>
  <si>
    <t>Projections INSEE 2006-2050 (métropole, 1/1)</t>
  </si>
  <si>
    <t>Décès Vallin-Mesle (métropole hors Alsace-Moselle pour 1900-1919 et 1939-1945)</t>
  </si>
  <si>
    <t>Population</t>
  </si>
  <si>
    <t>Pop20+</t>
  </si>
  <si>
    <t>Naissances</t>
  </si>
  <si>
    <t>Décès</t>
  </si>
  <si>
    <t>Décès20+</t>
  </si>
  <si>
    <t>Ratio (=Vallin-Mesle prennent aussi les décès militaires)</t>
  </si>
  <si>
    <t>nmen0</t>
  </si>
  <si>
    <t>nmen10</t>
  </si>
  <si>
    <t>nmen20</t>
  </si>
  <si>
    <t>nmen30</t>
  </si>
  <si>
    <t>nmen40</t>
  </si>
  <si>
    <t>nmen50</t>
  </si>
  <si>
    <t>nmen60</t>
  </si>
  <si>
    <t>nmen70</t>
  </si>
  <si>
    <t>nmen80</t>
  </si>
  <si>
    <t>nwomen0</t>
  </si>
  <si>
    <t>nwomen10</t>
  </si>
  <si>
    <t>nwomen20</t>
  </si>
  <si>
    <t>nwomen30</t>
  </si>
  <si>
    <t>nwomen40</t>
  </si>
  <si>
    <t>nwomen50</t>
  </si>
  <si>
    <t>nwomen60</t>
  </si>
  <si>
    <t>nwomen70</t>
  </si>
  <si>
    <t>nwomen80</t>
  </si>
  <si>
    <t>ndecmen0</t>
  </si>
  <si>
    <t>ndecmen10</t>
  </si>
  <si>
    <t>ndecmen20</t>
  </si>
  <si>
    <t>ndecmen30</t>
  </si>
  <si>
    <t>ndecmen40</t>
  </si>
  <si>
    <t>ndecmen50</t>
  </si>
  <si>
    <t>ndecmen60</t>
  </si>
  <si>
    <t>ndecmen70</t>
  </si>
  <si>
    <t>ndecmen80</t>
  </si>
  <si>
    <t>ndecwomen0</t>
  </si>
  <si>
    <t>ndecwomen10</t>
  </si>
  <si>
    <t>ndecwomen20</t>
  </si>
  <si>
    <t>ndecwomen30</t>
  </si>
  <si>
    <t>ndecwomen40</t>
  </si>
  <si>
    <t>ndecwomen50</t>
  </si>
  <si>
    <t>ndecwomen60</t>
  </si>
  <si>
    <t>ndecwomen70</t>
  </si>
  <si>
    <t>ndecwomen80</t>
  </si>
  <si>
    <t>[11]</t>
  </si>
  <si>
    <t>Adult population (20-yr+)</t>
  </si>
  <si>
    <t>Adult decedents</t>
  </si>
  <si>
    <t>Adult mortality rate</t>
  </si>
  <si>
    <r>
      <t>N</t>
    </r>
    <r>
      <rPr>
        <vertAlign val="subscript"/>
        <sz val="11"/>
        <rFont val="Arial"/>
        <family val="2"/>
      </rPr>
      <t>t</t>
    </r>
  </si>
  <si>
    <r>
      <t>n</t>
    </r>
    <r>
      <rPr>
        <b/>
        <vertAlign val="subscript"/>
        <sz val="11"/>
        <rFont val="Arial"/>
        <family val="2"/>
      </rPr>
      <t>t</t>
    </r>
  </si>
  <si>
    <r>
      <t>N</t>
    </r>
    <r>
      <rPr>
        <vertAlign val="subscript"/>
        <sz val="11"/>
        <rFont val="Arial"/>
        <family val="2"/>
      </rPr>
      <t>dt</t>
    </r>
  </si>
  <si>
    <t xml:space="preserve">Table C1: Population growth and mortality rates in Paris &amp; France, 1872-1937 </t>
  </si>
  <si>
    <t>1832: Kuagbenou-Biraben</t>
  </si>
  <si>
    <t>1872: Loua 1873</t>
  </si>
  <si>
    <t>1912: ASVP 1911 pp.724-725</t>
  </si>
  <si>
    <t>1922: ASVP 1921 p.297</t>
  </si>
  <si>
    <t>1927: ASVP 1926 p.437</t>
  </si>
  <si>
    <r>
      <t>N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>0+</t>
    </r>
  </si>
  <si>
    <t>Adult population growth rate</t>
  </si>
  <si>
    <t>Share 0-19-yr-old in total population</t>
  </si>
  <si>
    <t>Average age of adult population</t>
  </si>
  <si>
    <t xml:space="preserve">Total population </t>
  </si>
  <si>
    <t>Average age of decedents</t>
  </si>
  <si>
    <r>
      <t>m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= N</t>
    </r>
    <r>
      <rPr>
        <b/>
        <vertAlign val="subscript"/>
        <sz val="11"/>
        <rFont val="Arial"/>
        <family val="2"/>
      </rPr>
      <t>dt</t>
    </r>
    <r>
      <rPr>
        <b/>
        <sz val="11"/>
        <rFont val="Arial"/>
        <family val="2"/>
      </rPr>
      <t>/N</t>
    </r>
    <r>
      <rPr>
        <b/>
        <vertAlign val="subscript"/>
        <sz val="11"/>
        <rFont val="Arial"/>
        <family val="2"/>
      </rPr>
      <t>t</t>
    </r>
  </si>
  <si>
    <t>Paris</t>
  </si>
  <si>
    <t>France</t>
  </si>
  <si>
    <t>1932: ASVP 1931 p.297</t>
  </si>
  <si>
    <t>1937: ASVP 1936 p.437</t>
  </si>
  <si>
    <t>Average wealth at death as a fraction of average wealth of decedents aged 50-to-59 year-old (raw data)</t>
  </si>
  <si>
    <t xml:space="preserve"> 10-19</t>
  </si>
  <si>
    <t>Differential mortality parameters by age group</t>
  </si>
  <si>
    <r>
      <t>diffmort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</t>
    </r>
  </si>
  <si>
    <r>
      <t>m</t>
    </r>
    <r>
      <rPr>
        <vertAlign val="subscript"/>
        <sz val="12"/>
        <rFont val="Arial"/>
        <family val="2"/>
      </rPr>
      <t>t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(a)/m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</t>
    </r>
  </si>
  <si>
    <r>
      <t>m</t>
    </r>
    <r>
      <rPr>
        <vertAlign val="subscript"/>
        <sz val="12"/>
        <rFont val="Arial"/>
        <family val="2"/>
      </rPr>
      <t>t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>(a)/m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</t>
    </r>
  </si>
  <si>
    <r>
      <t>sharepoor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</t>
    </r>
  </si>
  <si>
    <r>
      <t>w</t>
    </r>
    <r>
      <rPr>
        <vertAlign val="subscript"/>
        <sz val="12"/>
        <rFont val="Arial"/>
        <family val="2"/>
      </rPr>
      <t>dt</t>
    </r>
    <r>
      <rPr>
        <sz val="12"/>
        <rFont val="Arial"/>
        <family val="2"/>
      </rPr>
      <t>(a)/w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</t>
    </r>
  </si>
  <si>
    <r>
      <t>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(a)/w</t>
    </r>
    <r>
      <rPr>
        <vertAlign val="subscript"/>
        <sz val="12"/>
        <rFont val="Arial"/>
        <family val="2"/>
      </rPr>
      <t>dt</t>
    </r>
    <r>
      <rPr>
        <sz val="12"/>
        <rFont val="Arial"/>
        <family val="2"/>
      </rPr>
      <t>(a)</t>
    </r>
  </si>
  <si>
    <t>[12]</t>
  </si>
  <si>
    <t>[13]</t>
  </si>
  <si>
    <t>[14]</t>
  </si>
  <si>
    <t>Uniform mortality estimates</t>
  </si>
  <si>
    <t>Differential mortality estimates</t>
  </si>
  <si>
    <t>Final series</t>
  </si>
  <si>
    <r>
      <t>Ratio      w</t>
    </r>
    <r>
      <rPr>
        <i/>
        <vertAlign val="subscript"/>
        <sz val="10"/>
        <rFont val="Arial Narrow"/>
        <family val="2"/>
      </rPr>
      <t>t</t>
    </r>
    <r>
      <rPr>
        <i/>
        <vertAlign val="superscript"/>
        <sz val="10"/>
        <rFont val="Arial Narrow"/>
        <family val="2"/>
      </rPr>
      <t xml:space="preserve">50-59 </t>
    </r>
    <r>
      <rPr>
        <i/>
        <sz val="10"/>
        <rFont val="Arial Narrow"/>
        <family val="2"/>
      </rPr>
      <t>/w</t>
    </r>
    <r>
      <rPr>
        <i/>
        <vertAlign val="subscript"/>
        <sz val="10"/>
        <rFont val="Arial Narrow"/>
        <family val="2"/>
      </rPr>
      <t>t</t>
    </r>
    <r>
      <rPr>
        <i/>
        <vertAlign val="superscript"/>
        <sz val="10"/>
        <rFont val="Arial Narrow"/>
        <family val="2"/>
      </rPr>
      <t>20+</t>
    </r>
    <r>
      <rPr>
        <i/>
        <sz val="10"/>
        <rFont val="Arial Narrow"/>
        <family val="2"/>
      </rPr>
      <t xml:space="preserve"> </t>
    </r>
  </si>
  <si>
    <r>
      <t>Ratio      w</t>
    </r>
    <r>
      <rPr>
        <i/>
        <vertAlign val="subscript"/>
        <sz val="10"/>
        <rFont val="Arial Narrow"/>
        <family val="2"/>
      </rPr>
      <t>t</t>
    </r>
    <r>
      <rPr>
        <i/>
        <vertAlign val="superscript"/>
        <sz val="10"/>
        <rFont val="Arial Narrow"/>
        <family val="2"/>
      </rPr>
      <t xml:space="preserve">50-59 </t>
    </r>
    <r>
      <rPr>
        <i/>
        <sz val="10"/>
        <rFont val="Arial Narrow"/>
        <family val="2"/>
      </rPr>
      <t>/w</t>
    </r>
    <r>
      <rPr>
        <i/>
        <vertAlign val="subscript"/>
        <sz val="10"/>
        <rFont val="Arial Narrow"/>
        <family val="2"/>
      </rPr>
      <t>t</t>
    </r>
    <r>
      <rPr>
        <i/>
        <sz val="10"/>
        <rFont val="Arial Narrow"/>
        <family val="2"/>
      </rPr>
      <t xml:space="preserve"> </t>
    </r>
  </si>
  <si>
    <r>
      <t>µ</t>
    </r>
    <r>
      <rPr>
        <vertAlign val="subscript"/>
        <sz val="12"/>
        <rFont val="Arial"/>
        <family val="2"/>
      </rPr>
      <t>t</t>
    </r>
    <r>
      <rPr>
        <vertAlign val="superscript"/>
        <sz val="12"/>
        <rFont val="Arial"/>
        <family val="2"/>
      </rPr>
      <t>0+</t>
    </r>
  </si>
  <si>
    <r>
      <t>µ</t>
    </r>
    <r>
      <rPr>
        <vertAlign val="subscript"/>
        <sz val="12"/>
        <rFont val="Arial"/>
        <family val="2"/>
      </rPr>
      <t>t</t>
    </r>
    <r>
      <rPr>
        <vertAlign val="superscript"/>
        <sz val="12"/>
        <rFont val="Arial"/>
        <family val="2"/>
      </rPr>
      <t>20+</t>
    </r>
  </si>
  <si>
    <r>
      <t>cf</t>
    </r>
    <r>
      <rPr>
        <vertAlign val="subscript"/>
        <sz val="12"/>
        <rFont val="Arial"/>
        <family val="2"/>
      </rPr>
      <t>t</t>
    </r>
  </si>
  <si>
    <r>
      <t>B</t>
    </r>
    <r>
      <rPr>
        <vertAlign val="subscript"/>
        <sz val="12"/>
        <rFont val="Arial"/>
        <family val="2"/>
      </rPr>
      <t>t</t>
    </r>
    <r>
      <rPr>
        <vertAlign val="superscript"/>
        <sz val="12"/>
        <rFont val="Arial"/>
        <family val="2"/>
      </rPr>
      <t>20+</t>
    </r>
    <r>
      <rPr>
        <sz val="12"/>
        <rFont val="Arial"/>
        <family val="2"/>
      </rPr>
      <t>/B</t>
    </r>
    <r>
      <rPr>
        <vertAlign val="subscript"/>
        <sz val="12"/>
        <rFont val="Arial"/>
        <family val="2"/>
      </rPr>
      <t>t</t>
    </r>
  </si>
  <si>
    <r>
      <t>W</t>
    </r>
    <r>
      <rPr>
        <vertAlign val="subscript"/>
        <sz val="12"/>
        <rFont val="Arial"/>
        <family val="2"/>
      </rPr>
      <t>t</t>
    </r>
    <r>
      <rPr>
        <vertAlign val="superscript"/>
        <sz val="12"/>
        <rFont val="Arial"/>
        <family val="2"/>
      </rPr>
      <t>20+</t>
    </r>
    <r>
      <rPr>
        <sz val="12"/>
        <rFont val="Arial"/>
        <family val="2"/>
      </rPr>
      <t>/W</t>
    </r>
    <r>
      <rPr>
        <vertAlign val="subscript"/>
        <sz val="12"/>
        <rFont val="Arial"/>
        <family val="2"/>
      </rPr>
      <t>t</t>
    </r>
  </si>
  <si>
    <r>
      <t>µ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      cf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µ</t>
    </r>
    <r>
      <rPr>
        <b/>
        <vertAlign val="subscript"/>
        <sz val="12"/>
        <rFont val="Arial"/>
        <family val="2"/>
      </rPr>
      <t>t</t>
    </r>
    <r>
      <rPr>
        <b/>
        <vertAlign val="superscript"/>
        <sz val="12"/>
        <rFont val="Arial"/>
        <family val="2"/>
      </rPr>
      <t>20+</t>
    </r>
  </si>
  <si>
    <r>
      <t>µ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* =      (1+v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) µ</t>
    </r>
    <r>
      <rPr>
        <b/>
        <vertAlign val="subscript"/>
        <sz val="12"/>
        <rFont val="Arial"/>
        <family val="2"/>
      </rPr>
      <t>t</t>
    </r>
  </si>
  <si>
    <r>
      <t>Table C6: Raw data on the age-wealth profile of decedents w</t>
    </r>
    <r>
      <rPr>
        <b/>
        <vertAlign val="subscript"/>
        <sz val="12"/>
        <rFont val="Arial"/>
        <family val="2"/>
      </rPr>
      <t>dt</t>
    </r>
    <r>
      <rPr>
        <b/>
        <sz val="12"/>
        <rFont val="Arial"/>
        <family val="2"/>
      </rPr>
      <t>(a) in Paris, 1872-1937</t>
    </r>
  </si>
  <si>
    <r>
      <t>Table C7: Corrected age-wealth profiles w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(a)  in Paris, 1872-1937</t>
    </r>
  </si>
  <si>
    <r>
      <t>Table C8: Computation of µ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and µ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* ratios in Paris, 1872-1937 </t>
    </r>
  </si>
  <si>
    <t>Sources: see Table C2</t>
  </si>
  <si>
    <t>Sources: see Table C3</t>
  </si>
  <si>
    <t>Sources: see Table C5</t>
  </si>
  <si>
    <t>aged 20-year-old and over, including decedents with unknown age and morgue decedents); the breakdown by age</t>
  </si>
  <si>
    <t>group was taken from the micro samples (divided by full sample response rate x age response rate, so as to ensure</t>
  </si>
  <si>
    <t>More precisely: the total number of decedents reported on this table was taken directly from Etat-Civil tables (decedents</t>
  </si>
  <si>
    <t>consistency between the total and the sum; see formulas); the micro samples are themselves based upon Etat-Civil</t>
  </si>
  <si>
    <t>age tables (in the sense that the numbers of zero-wealth decedents by decennial age group were computed as residuals)</t>
  </si>
  <si>
    <t>Table C2m: Population by age group in Paris (male population)</t>
  </si>
  <si>
    <t>Table C2f: Population by age group in Paris (female population)</t>
  </si>
  <si>
    <t>Table C3m: Population by age group in France (male population)</t>
  </si>
  <si>
    <t>Table C3f: Population by age group in France (female population)</t>
  </si>
  <si>
    <t>total-somme</t>
  </si>
  <si>
    <t>Table C5m: Decedents by age group in France (male population)</t>
  </si>
  <si>
    <t>Table C5f: Decedents by age group in France (female population)</t>
  </si>
  <si>
    <t xml:space="preserve">1882: total from DemoVivantsParis.xls; age distribution = linear interpolation (see formulas) </t>
  </si>
  <si>
    <t>Table C2: Population by age group in Paris (male + female)</t>
  </si>
  <si>
    <t>Table C5: Decedents by age group in France (male + female)</t>
  </si>
  <si>
    <t xml:space="preserve">Total 20+  </t>
  </si>
  <si>
    <t>Table C4: Decedents by age group in Paris (male + female)</t>
  </si>
  <si>
    <r>
      <t>Source</t>
    </r>
    <r>
      <rPr>
        <sz val="12"/>
        <rFont val="Arial"/>
        <family val="2"/>
      </rPr>
      <t>: Authors computations using national censuses (see Piketty 2010, Appendix C, and formulas)</t>
    </r>
  </si>
  <si>
    <r>
      <t>Source</t>
    </r>
    <r>
      <rPr>
        <sz val="12"/>
        <rFont val="Arial"/>
        <family val="2"/>
      </rPr>
      <t>: Authors computations using censuses and Etat-civil data (see other demographic tables and formulas for more details)</t>
    </r>
  </si>
  <si>
    <r>
      <t>Source</t>
    </r>
    <r>
      <rPr>
        <sz val="12"/>
        <rFont val="Arial"/>
        <family val="2"/>
      </rPr>
      <t>: Authors' computations using Paris censuses  (see DemoVivantsParis.xls and formulas)</t>
    </r>
  </si>
  <si>
    <t xml:space="preserve">Table C3: Population by age group in France (male + female) </t>
  </si>
  <si>
    <r>
      <t>Source:</t>
    </r>
    <r>
      <rPr>
        <sz val="12"/>
        <rFont val="Arial"/>
        <family val="2"/>
      </rPr>
      <t xml:space="preserve"> National Etat-civil data (see Piketty 2010, Appendix C, and formulas)</t>
    </r>
  </si>
  <si>
    <r>
      <t>Note</t>
    </r>
    <r>
      <rPr>
        <sz val="12"/>
        <rFont val="Arial"/>
        <family val="2"/>
      </rPr>
      <t>: The total number of 20-year-old-+ decedents reported in Etat-civil tables for 1882 appears to me surprisingly high</t>
    </r>
  </si>
  <si>
    <t>(namely, 36 790); here we took the 1879-1885 average (namely, 34 932) (see DemoMortsParis.xls). This revised number</t>
  </si>
  <si>
    <t>abnormally high levels and standard errors observed for these two years (see formulas and Table B6)</t>
  </si>
  <si>
    <t>Average wealth as a fraction of average wealth of individuals aged 50-to-59 year-old                                            (among the living, after differential mortality correction)</t>
  </si>
  <si>
    <t>% of living individuals with wealth &gt;0  (after differential mortality correction)</t>
  </si>
  <si>
    <t>Table C9: Differential mortality rates vs differential life expectancy (illustrative computations)</t>
  </si>
  <si>
    <r>
      <t>m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(a) (1912)</t>
    </r>
  </si>
  <si>
    <t>initial cohort size</t>
  </si>
  <si>
    <t>poor decedents</t>
  </si>
  <si>
    <t>final cohort size</t>
  </si>
  <si>
    <t>total decedents</t>
  </si>
  <si>
    <t>rich decedents</t>
  </si>
  <si>
    <t>average age at death (poor)</t>
  </si>
  <si>
    <t>average age at death (rich)</t>
  </si>
  <si>
    <t>average age at death (total)</t>
  </si>
  <si>
    <r>
      <t>Note</t>
    </r>
    <r>
      <rPr>
        <sz val="12"/>
        <rFont val="Arial"/>
        <family val="2"/>
      </rPr>
      <t xml:space="preserve">: Raw wealth ratios for 40-to-49 age group were smoothed for years 1882 and 1937, due to the </t>
    </r>
  </si>
  <si>
    <r>
      <t>Source</t>
    </r>
    <r>
      <rPr>
        <sz val="12"/>
        <rFont val="Arial"/>
        <family val="2"/>
      </rPr>
      <t>: Authors' computations using the micro samples (see Appendix B, Table B6; see formulas)</t>
    </r>
  </si>
  <si>
    <t>Paris share in France</t>
  </si>
  <si>
    <r>
      <t>N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(pop.)</t>
    </r>
  </si>
  <si>
    <r>
      <t>N</t>
    </r>
    <r>
      <rPr>
        <vertAlign val="subscript"/>
        <sz val="11"/>
        <rFont val="Arial"/>
        <family val="2"/>
      </rPr>
      <t>dt</t>
    </r>
    <r>
      <rPr>
        <sz val="11"/>
        <rFont val="Arial"/>
        <family val="2"/>
      </rPr>
      <t xml:space="preserve"> (dec.)</t>
    </r>
  </si>
  <si>
    <r>
      <t>Source</t>
    </r>
    <r>
      <rPr>
        <sz val="12"/>
        <rFont val="Arial"/>
        <family val="2"/>
      </rPr>
      <t>: Paris Etat-Civil data (as published in Annuaire Statistique de la Ville de Paris (ASVP), see DemoMortsParis.xls)</t>
    </r>
  </si>
  <si>
    <t>average per decedent wealth appears to decline, see Table A3).</t>
  </si>
  <si>
    <t xml:space="preserve">might also plausibly be somewhat too high (Paris mortality rate appears to rise between 1872 and 1882, see Table C1; and </t>
  </si>
  <si>
    <t>Source: Authors' computations using age-wealth profiles (see previous tables and formulas; for more details,</t>
  </si>
  <si>
    <t>see Piketty (2010, Appendix B2))</t>
  </si>
  <si>
    <t>Source: Authors' computations using various differential mortality profiles (see previous tables and formulas)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</si>
</sst>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00"/>
    <numFmt numFmtId="169" formatCode="0.0"/>
    <numFmt numFmtId="170" formatCode="0.0%"/>
    <numFmt numFmtId="171" formatCode="#,##0&quot; &quot;"/>
    <numFmt numFmtId="172" formatCode="#,##0.0"/>
    <numFmt numFmtId="173" formatCode="0.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0%"/>
    <numFmt numFmtId="183" formatCode="0.00000%"/>
    <numFmt numFmtId="184" formatCode="0.0000%"/>
    <numFmt numFmtId="185" formatCode="0.0000"/>
    <numFmt numFmtId="186" formatCode="#,##0.000"/>
    <numFmt numFmtId="187" formatCode="0.00000"/>
    <numFmt numFmtId="188" formatCode="\$#,##0\ ;\(\$#,##0\)"/>
    <numFmt numFmtId="189" formatCode="0.0000000000000000%"/>
    <numFmt numFmtId="190" formatCode="0.000000000000000%"/>
    <numFmt numFmtId="191" formatCode="\ #,##0;\-\ #,##0"/>
    <numFmt numFmtId="192" formatCode="#,##0.00000"/>
    <numFmt numFmtId="193" formatCode="0.000000"/>
    <numFmt numFmtId="194" formatCode="0.00000000000000000%"/>
    <numFmt numFmtId="195" formatCode="#,##0.0000"/>
    <numFmt numFmtId="196" formatCode="#,##0.000000"/>
    <numFmt numFmtId="197" formatCode="#,##0\ &quot;€&quot;"/>
    <numFmt numFmtId="198" formatCode="#,##0.0000000"/>
    <numFmt numFmtId="199" formatCode="#,##0,\F\F"/>
    <numFmt numFmtId="200" formatCode="#,##0,,\F\F"/>
    <numFmt numFmtId="201" formatCode="#,##0,\F"/>
    <numFmt numFmtId="202" formatCode="0,\F"/>
  </numFmts>
  <fonts count="29">
    <font>
      <sz val="12"/>
      <name val="Times New Roman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sz val="7"/>
      <name val="Helvetica"/>
      <family val="0"/>
    </font>
    <font>
      <sz val="8"/>
      <name val="Times New Roman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1"/>
      <name val="Arial"/>
      <family val="2"/>
    </font>
    <font>
      <sz val="11"/>
      <name val="Times New Roman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i/>
      <vertAlign val="subscript"/>
      <sz val="10"/>
      <name val="Arial Narrow"/>
      <family val="2"/>
    </font>
    <font>
      <i/>
      <vertAlign val="superscript"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0" borderId="1">
      <alignment horizontal="center"/>
      <protection/>
    </xf>
    <xf numFmtId="0" fontId="1" fillId="0" borderId="2" applyNumberFormat="0" applyFont="0" applyFill="0" applyAlignment="0" applyProtection="0"/>
    <xf numFmtId="2" fontId="1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7" applyFont="1">
      <alignment/>
      <protection/>
    </xf>
    <xf numFmtId="0" fontId="12" fillId="0" borderId="0" xfId="0" applyFont="1" applyAlignment="1">
      <alignment/>
    </xf>
    <xf numFmtId="0" fontId="0" fillId="0" borderId="3" xfId="27" applyFont="1" applyBorder="1">
      <alignment/>
      <protection/>
    </xf>
    <xf numFmtId="0" fontId="0" fillId="0" borderId="0" xfId="27" applyFont="1" applyBorder="1">
      <alignment/>
      <protection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3" fontId="12" fillId="0" borderId="0" xfId="27" applyNumberFormat="1" applyFont="1" applyBorder="1" applyAlignment="1">
      <alignment horizontal="center"/>
      <protection/>
    </xf>
    <xf numFmtId="3" fontId="12" fillId="0" borderId="4" xfId="27" applyNumberFormat="1" applyFont="1" applyBorder="1" applyAlignment="1">
      <alignment horizontal="center"/>
      <protection/>
    </xf>
    <xf numFmtId="0" fontId="12" fillId="0" borderId="3" xfId="27" applyFont="1" applyBorder="1" applyAlignment="1">
      <alignment horizontal="center"/>
      <protection/>
    </xf>
    <xf numFmtId="0" fontId="12" fillId="0" borderId="0" xfId="27" applyFont="1">
      <alignment/>
      <protection/>
    </xf>
    <xf numFmtId="0" fontId="12" fillId="0" borderId="9" xfId="27" applyFont="1" applyBorder="1" applyAlignment="1">
      <alignment horizontal="center"/>
      <protection/>
    </xf>
    <xf numFmtId="3" fontId="12" fillId="0" borderId="10" xfId="27" applyNumberFormat="1" applyFont="1" applyBorder="1" applyAlignment="1">
      <alignment horizontal="center"/>
      <protection/>
    </xf>
    <xf numFmtId="3" fontId="12" fillId="0" borderId="11" xfId="27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0" xfId="27" applyNumberFormat="1" applyFont="1" applyAlignment="1">
      <alignment horizontal="center"/>
      <protection/>
    </xf>
    <xf numFmtId="9" fontId="12" fillId="0" borderId="0" xfId="27" applyNumberFormat="1" applyFont="1" applyAlignment="1">
      <alignment horizontal="center"/>
      <protection/>
    </xf>
    <xf numFmtId="168" fontId="12" fillId="0" borderId="0" xfId="27" applyNumberFormat="1" applyFont="1" applyAlignment="1">
      <alignment horizontal="center"/>
      <protection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170" fontId="10" fillId="0" borderId="0" xfId="27" applyNumberFormat="1" applyFont="1" applyBorder="1" applyAlignment="1">
      <alignment horizontal="center"/>
      <protection/>
    </xf>
    <xf numFmtId="3" fontId="12" fillId="0" borderId="12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172" fontId="12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27" applyFont="1" applyBorder="1" applyAlignment="1">
      <alignment horizont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12" fillId="0" borderId="15" xfId="27" applyFont="1" applyBorder="1" applyAlignment="1">
      <alignment horizontal="center"/>
      <protection/>
    </xf>
    <xf numFmtId="3" fontId="12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9" fontId="20" fillId="0" borderId="13" xfId="0" applyNumberFormat="1" applyFont="1" applyBorder="1" applyAlignment="1">
      <alignment horizontal="center"/>
    </xf>
    <xf numFmtId="172" fontId="12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0" fontId="21" fillId="0" borderId="0" xfId="27" applyNumberFormat="1" applyFont="1" applyBorder="1" applyAlignment="1">
      <alignment horizontal="center"/>
      <protection/>
    </xf>
    <xf numFmtId="172" fontId="12" fillId="0" borderId="0" xfId="27" applyNumberFormat="1" applyFont="1" applyBorder="1" applyAlignment="1">
      <alignment horizontal="center"/>
      <protection/>
    </xf>
    <xf numFmtId="170" fontId="10" fillId="0" borderId="4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0" fontId="10" fillId="0" borderId="0" xfId="26" applyFont="1">
      <alignment/>
      <protection/>
    </xf>
    <xf numFmtId="0" fontId="11" fillId="0" borderId="0" xfId="26" applyFont="1">
      <alignment/>
      <protection/>
    </xf>
    <xf numFmtId="0" fontId="10" fillId="0" borderId="3" xfId="26" applyFont="1" applyBorder="1">
      <alignment/>
      <protection/>
    </xf>
    <xf numFmtId="0" fontId="10" fillId="0" borderId="0" xfId="26" applyFont="1" applyBorder="1">
      <alignment/>
      <protection/>
    </xf>
    <xf numFmtId="0" fontId="11" fillId="0" borderId="0" xfId="26" applyFont="1" applyBorder="1">
      <alignment/>
      <protection/>
    </xf>
    <xf numFmtId="0" fontId="11" fillId="0" borderId="4" xfId="26" applyFont="1" applyBorder="1">
      <alignment/>
      <protection/>
    </xf>
    <xf numFmtId="0" fontId="0" fillId="0" borderId="0" xfId="26">
      <alignment/>
      <protection/>
    </xf>
    <xf numFmtId="0" fontId="12" fillId="0" borderId="3" xfId="26" applyFont="1" applyBorder="1">
      <alignment/>
      <protection/>
    </xf>
    <xf numFmtId="0" fontId="12" fillId="0" borderId="3" xfId="26" applyFont="1" applyBorder="1" applyAlignment="1">
      <alignment horizontal="center"/>
      <protection/>
    </xf>
    <xf numFmtId="9" fontId="12" fillId="0" borderId="0" xfId="27" applyNumberFormat="1" applyFont="1" applyBorder="1" applyAlignment="1">
      <alignment horizontal="center"/>
      <protection/>
    </xf>
    <xf numFmtId="9" fontId="12" fillId="0" borderId="4" xfId="27" applyNumberFormat="1" applyFont="1" applyBorder="1" applyAlignment="1">
      <alignment horizontal="center"/>
      <protection/>
    </xf>
    <xf numFmtId="9" fontId="12" fillId="0" borderId="10" xfId="27" applyNumberFormat="1" applyFont="1" applyBorder="1" applyAlignment="1">
      <alignment horizontal="center"/>
      <protection/>
    </xf>
    <xf numFmtId="9" fontId="12" fillId="0" borderId="11" xfId="27" applyNumberFormat="1" applyFont="1" applyBorder="1" applyAlignment="1">
      <alignment horizontal="center"/>
      <protection/>
    </xf>
    <xf numFmtId="2" fontId="10" fillId="0" borderId="0" xfId="26" applyNumberFormat="1" applyFont="1" applyBorder="1">
      <alignment/>
      <protection/>
    </xf>
    <xf numFmtId="2" fontId="10" fillId="0" borderId="4" xfId="26" applyNumberFormat="1" applyFont="1" applyBorder="1">
      <alignment/>
      <protection/>
    </xf>
    <xf numFmtId="0" fontId="12" fillId="0" borderId="3" xfId="26" applyFont="1" applyBorder="1" applyAlignment="1">
      <alignment horizontal="center" vertical="center"/>
      <protection/>
    </xf>
    <xf numFmtId="9" fontId="12" fillId="0" borderId="0" xfId="26" applyNumberFormat="1" applyFont="1" applyBorder="1" applyAlignment="1">
      <alignment horizontal="center"/>
      <protection/>
    </xf>
    <xf numFmtId="9" fontId="12" fillId="0" borderId="4" xfId="26" applyNumberFormat="1" applyFont="1" applyBorder="1" applyAlignment="1">
      <alignment horizontal="center"/>
      <protection/>
    </xf>
    <xf numFmtId="9" fontId="12" fillId="0" borderId="0" xfId="26" applyNumberFormat="1" applyFont="1" applyAlignment="1">
      <alignment horizontal="center"/>
      <protection/>
    </xf>
    <xf numFmtId="0" fontId="0" fillId="0" borderId="0" xfId="26" applyBorder="1">
      <alignment/>
      <protection/>
    </xf>
    <xf numFmtId="0" fontId="0" fillId="0" borderId="4" xfId="26" applyBorder="1">
      <alignment/>
      <protection/>
    </xf>
    <xf numFmtId="0" fontId="12" fillId="0" borderId="0" xfId="26" applyFont="1">
      <alignment/>
      <protection/>
    </xf>
    <xf numFmtId="0" fontId="12" fillId="0" borderId="0" xfId="27" applyFont="1" applyBorder="1">
      <alignment/>
      <protection/>
    </xf>
    <xf numFmtId="0" fontId="0" fillId="0" borderId="4" xfId="27" applyFont="1" applyBorder="1">
      <alignment/>
      <protection/>
    </xf>
    <xf numFmtId="0" fontId="12" fillId="0" borderId="5" xfId="26" applyFont="1" applyBorder="1" applyAlignment="1">
      <alignment horizontal="center"/>
      <protection/>
    </xf>
    <xf numFmtId="0" fontId="12" fillId="0" borderId="16" xfId="26" applyFont="1" applyBorder="1" applyAlignment="1">
      <alignment horizontal="center"/>
      <protection/>
    </xf>
    <xf numFmtId="0" fontId="12" fillId="0" borderId="17" xfId="26" applyFont="1" applyBorder="1" applyAlignment="1">
      <alignment horizontal="center"/>
      <protection/>
    </xf>
    <xf numFmtId="0" fontId="10" fillId="0" borderId="5" xfId="26" applyFont="1" applyBorder="1" applyAlignment="1">
      <alignment horizontal="center"/>
      <protection/>
    </xf>
    <xf numFmtId="0" fontId="10" fillId="0" borderId="17" xfId="26" applyFont="1" applyBorder="1" applyAlignment="1">
      <alignment horizontal="center"/>
      <protection/>
    </xf>
    <xf numFmtId="0" fontId="12" fillId="0" borderId="6" xfId="26" applyFont="1" applyBorder="1" applyAlignment="1">
      <alignment horizontal="center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2" fillId="0" borderId="18" xfId="26" applyFont="1" applyBorder="1" applyAlignment="1">
      <alignment horizontal="center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0" fontId="10" fillId="0" borderId="18" xfId="26" applyFont="1" applyBorder="1" applyAlignment="1">
      <alignment horizontal="center" vertical="center" wrapText="1"/>
      <protection/>
    </xf>
    <xf numFmtId="9" fontId="12" fillId="0" borderId="1" xfId="27" applyNumberFormat="1" applyFont="1" applyBorder="1" applyAlignment="1">
      <alignment horizontal="center"/>
      <protection/>
    </xf>
    <xf numFmtId="9" fontId="12" fillId="0" borderId="18" xfId="27" applyNumberFormat="1" applyFont="1" applyBorder="1" applyAlignment="1">
      <alignment horizontal="center"/>
      <protection/>
    </xf>
    <xf numFmtId="9" fontId="10" fillId="0" borderId="0" xfId="27" applyNumberFormat="1" applyFont="1" applyBorder="1" applyAlignment="1">
      <alignment horizontal="center"/>
      <protection/>
    </xf>
    <xf numFmtId="9" fontId="10" fillId="0" borderId="18" xfId="27" applyNumberFormat="1" applyFont="1" applyBorder="1" applyAlignment="1">
      <alignment horizontal="center"/>
      <protection/>
    </xf>
    <xf numFmtId="9" fontId="20" fillId="0" borderId="0" xfId="26" applyNumberFormat="1" applyFont="1" applyAlignment="1">
      <alignment horizontal="center"/>
      <protection/>
    </xf>
    <xf numFmtId="9" fontId="20" fillId="0" borderId="4" xfId="26" applyNumberFormat="1" applyFont="1" applyBorder="1">
      <alignment/>
      <protection/>
    </xf>
    <xf numFmtId="0" fontId="12" fillId="0" borderId="9" xfId="26" applyFont="1" applyBorder="1" applyAlignment="1">
      <alignment horizontal="center"/>
      <protection/>
    </xf>
    <xf numFmtId="9" fontId="12" fillId="0" borderId="19" xfId="27" applyNumberFormat="1" applyFont="1" applyBorder="1" applyAlignment="1">
      <alignment horizontal="center"/>
      <protection/>
    </xf>
    <xf numFmtId="9" fontId="12" fillId="0" borderId="20" xfId="27" applyNumberFormat="1" applyFont="1" applyBorder="1" applyAlignment="1">
      <alignment horizontal="center"/>
      <protection/>
    </xf>
    <xf numFmtId="9" fontId="10" fillId="0" borderId="10" xfId="27" applyNumberFormat="1" applyFont="1" applyBorder="1" applyAlignment="1">
      <alignment horizontal="center"/>
      <protection/>
    </xf>
    <xf numFmtId="9" fontId="10" fillId="0" borderId="20" xfId="27" applyNumberFormat="1" applyFont="1" applyBorder="1" applyAlignment="1">
      <alignment horizontal="center"/>
      <protection/>
    </xf>
    <xf numFmtId="9" fontId="20" fillId="0" borderId="10" xfId="26" applyNumberFormat="1" applyFont="1" applyBorder="1" applyAlignment="1">
      <alignment horizontal="center"/>
      <protection/>
    </xf>
    <xf numFmtId="9" fontId="20" fillId="0" borderId="11" xfId="26" applyNumberFormat="1" applyFont="1" applyBorder="1">
      <alignment/>
      <protection/>
    </xf>
    <xf numFmtId="170" fontId="20" fillId="0" borderId="0" xfId="27" applyNumberFormat="1" applyFont="1" applyBorder="1" applyAlignment="1">
      <alignment horizontal="center"/>
      <protection/>
    </xf>
    <xf numFmtId="170" fontId="20" fillId="0" borderId="13" xfId="27" applyNumberFormat="1" applyFont="1" applyBorder="1" applyAlignment="1">
      <alignment horizontal="center"/>
      <protection/>
    </xf>
    <xf numFmtId="170" fontId="12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70" fontId="12" fillId="0" borderId="0" xfId="26" applyNumberFormat="1" applyFont="1" applyBorder="1" applyAlignment="1">
      <alignment horizontal="center"/>
      <protection/>
    </xf>
    <xf numFmtId="170" fontId="12" fillId="0" borderId="4" xfId="26" applyNumberFormat="1" applyFont="1" applyBorder="1" applyAlignment="1">
      <alignment horizontal="center"/>
      <protection/>
    </xf>
    <xf numFmtId="3" fontId="12" fillId="0" borderId="0" xfId="26" applyNumberFormat="1" applyFont="1" applyBorder="1" applyAlignment="1">
      <alignment horizontal="center"/>
      <protection/>
    </xf>
    <xf numFmtId="3" fontId="12" fillId="0" borderId="4" xfId="26" applyNumberFormat="1" applyFont="1" applyBorder="1" applyAlignment="1">
      <alignment horizontal="center"/>
      <protection/>
    </xf>
    <xf numFmtId="172" fontId="12" fillId="0" borderId="0" xfId="26" applyNumberFormat="1" applyFont="1" applyBorder="1" applyAlignment="1">
      <alignment horizontal="center"/>
      <protection/>
    </xf>
    <xf numFmtId="0" fontId="12" fillId="0" borderId="9" xfId="26" applyFont="1" applyBorder="1">
      <alignment/>
      <protection/>
    </xf>
    <xf numFmtId="172" fontId="12" fillId="0" borderId="10" xfId="26" applyNumberFormat="1" applyFont="1" applyBorder="1" applyAlignment="1">
      <alignment horizontal="center"/>
      <protection/>
    </xf>
    <xf numFmtId="3" fontId="12" fillId="0" borderId="10" xfId="26" applyNumberFormat="1" applyFont="1" applyBorder="1" applyAlignment="1">
      <alignment horizontal="center"/>
      <protection/>
    </xf>
    <xf numFmtId="3" fontId="12" fillId="0" borderId="11" xfId="26" applyNumberFormat="1" applyFont="1" applyBorder="1" applyAlignment="1">
      <alignment horizontal="center"/>
      <protection/>
    </xf>
    <xf numFmtId="0" fontId="10" fillId="0" borderId="21" xfId="27" applyFont="1" applyBorder="1">
      <alignment/>
      <protection/>
    </xf>
    <xf numFmtId="0" fontId="12" fillId="0" borderId="22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3" xfId="27" applyFont="1" applyBorder="1">
      <alignment/>
      <protection/>
    </xf>
    <xf numFmtId="0" fontId="12" fillId="0" borderId="4" xfId="27" applyFont="1" applyBorder="1">
      <alignment/>
      <protection/>
    </xf>
    <xf numFmtId="0" fontId="12" fillId="0" borderId="9" xfId="27" applyFont="1" applyBorder="1">
      <alignment/>
      <protection/>
    </xf>
    <xf numFmtId="0" fontId="12" fillId="0" borderId="10" xfId="27" applyFont="1" applyBorder="1">
      <alignment/>
      <protection/>
    </xf>
    <xf numFmtId="0" fontId="12" fillId="0" borderId="11" xfId="27" applyFont="1" applyBorder="1">
      <alignment/>
      <protection/>
    </xf>
    <xf numFmtId="0" fontId="10" fillId="0" borderId="24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6" xfId="27" applyFont="1" applyBorder="1">
      <alignment/>
      <protection/>
    </xf>
    <xf numFmtId="0" fontId="10" fillId="0" borderId="3" xfId="27" applyFont="1" applyBorder="1">
      <alignment/>
      <protection/>
    </xf>
    <xf numFmtId="0" fontId="0" fillId="0" borderId="22" xfId="27" applyFont="1" applyBorder="1">
      <alignment/>
      <protection/>
    </xf>
    <xf numFmtId="0" fontId="0" fillId="0" borderId="23" xfId="27" applyFont="1" applyBorder="1">
      <alignment/>
      <protection/>
    </xf>
    <xf numFmtId="0" fontId="0" fillId="0" borderId="10" xfId="27" applyFont="1" applyBorder="1">
      <alignment/>
      <protection/>
    </xf>
    <xf numFmtId="0" fontId="0" fillId="0" borderId="11" xfId="27" applyFont="1" applyBorder="1">
      <alignment/>
      <protection/>
    </xf>
    <xf numFmtId="0" fontId="12" fillId="0" borderId="21" xfId="27" applyFont="1" applyBorder="1">
      <alignment/>
      <protection/>
    </xf>
    <xf numFmtId="0" fontId="6" fillId="0" borderId="4" xfId="28" applyBorder="1" applyAlignment="1">
      <alignment horizontal="center" vertical="center"/>
      <protection/>
    </xf>
    <xf numFmtId="0" fontId="10" fillId="0" borderId="21" xfId="26" applyFont="1" applyBorder="1" applyAlignment="1">
      <alignment horizontal="center" vertical="center"/>
      <protection/>
    </xf>
    <xf numFmtId="0" fontId="6" fillId="0" borderId="22" xfId="28" applyBorder="1" applyAlignment="1">
      <alignment horizontal="center" vertical="center"/>
      <protection/>
    </xf>
    <xf numFmtId="0" fontId="6" fillId="0" borderId="23" xfId="28" applyBorder="1" applyAlignment="1">
      <alignment horizontal="center" vertical="center"/>
      <protection/>
    </xf>
    <xf numFmtId="0" fontId="12" fillId="0" borderId="27" xfId="27" applyFont="1" applyBorder="1">
      <alignment/>
      <protection/>
    </xf>
    <xf numFmtId="0" fontId="0" fillId="0" borderId="25" xfId="27" applyFont="1" applyBorder="1">
      <alignment/>
      <protection/>
    </xf>
    <xf numFmtId="0" fontId="0" fillId="0" borderId="26" xfId="27" applyFont="1" applyBorder="1">
      <alignment/>
      <protection/>
    </xf>
    <xf numFmtId="0" fontId="10" fillId="0" borderId="21" xfId="27" applyFont="1" applyBorder="1" applyAlignment="1">
      <alignment horizontal="justify" vertical="top" wrapText="1"/>
      <protection/>
    </xf>
    <xf numFmtId="0" fontId="0" fillId="0" borderId="22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8" xfId="26" applyFont="1" applyBorder="1" applyAlignment="1">
      <alignment horizontal="center" vertical="center"/>
      <protection/>
    </xf>
    <xf numFmtId="0" fontId="6" fillId="0" borderId="0" xfId="28" applyBorder="1" applyAlignment="1">
      <alignment horizontal="center" vertical="center"/>
      <protection/>
    </xf>
    <xf numFmtId="0" fontId="12" fillId="0" borderId="12" xfId="26" applyFont="1" applyBorder="1" applyAlignment="1">
      <alignment horizontal="center" vertical="center"/>
      <protection/>
    </xf>
    <xf numFmtId="0" fontId="12" fillId="0" borderId="29" xfId="26" applyFont="1" applyBorder="1" applyAlignment="1">
      <alignment horizontal="center" vertical="center"/>
      <protection/>
    </xf>
    <xf numFmtId="0" fontId="6" fillId="0" borderId="5" xfId="28" applyBorder="1" applyAlignment="1">
      <alignment horizontal="center" vertical="center"/>
      <protection/>
    </xf>
    <xf numFmtId="0" fontId="6" fillId="0" borderId="6" xfId="28" applyBorder="1" applyAlignment="1">
      <alignment horizontal="center" vertical="center"/>
      <protection/>
    </xf>
    <xf numFmtId="0" fontId="12" fillId="0" borderId="29" xfId="26" applyFont="1" applyBorder="1" applyAlignment="1">
      <alignment horizontal="center" vertical="center" wrapText="1"/>
      <protection/>
    </xf>
    <xf numFmtId="0" fontId="6" fillId="0" borderId="5" xfId="28" applyBorder="1" applyAlignment="1">
      <alignment horizontal="center" vertical="center" wrapText="1"/>
      <protection/>
    </xf>
    <xf numFmtId="0" fontId="6" fillId="0" borderId="6" xfId="28" applyBorder="1" applyAlignment="1">
      <alignment horizontal="center" vertical="center" wrapText="1"/>
      <protection/>
    </xf>
    <xf numFmtId="0" fontId="12" fillId="0" borderId="30" xfId="27" applyFont="1" applyBorder="1" applyAlignment="1">
      <alignment horizontal="center" vertical="center"/>
      <protection/>
    </xf>
    <xf numFmtId="0" fontId="12" fillId="0" borderId="7" xfId="27" applyFont="1" applyBorder="1" applyAlignment="1">
      <alignment horizontal="center" vertical="center"/>
      <protection/>
    </xf>
    <xf numFmtId="0" fontId="12" fillId="0" borderId="31" xfId="27" applyFont="1" applyBorder="1" applyAlignment="1">
      <alignment horizontal="center" vertical="center"/>
      <protection/>
    </xf>
    <xf numFmtId="0" fontId="10" fillId="0" borderId="21" xfId="26" applyFont="1" applyBorder="1" applyAlignment="1">
      <alignment horizontal="center" vertical="center" wrapText="1"/>
      <protection/>
    </xf>
    <xf numFmtId="0" fontId="6" fillId="0" borderId="22" xfId="28" applyBorder="1" applyAlignment="1">
      <alignment horizontal="center" vertical="center" wrapText="1"/>
      <protection/>
    </xf>
    <xf numFmtId="0" fontId="6" fillId="0" borderId="23" xfId="28" applyBorder="1" applyAlignment="1">
      <alignment horizontal="center" vertical="center" wrapText="1"/>
      <protection/>
    </xf>
    <xf numFmtId="0" fontId="10" fillId="0" borderId="30" xfId="27" applyFont="1" applyBorder="1" applyAlignment="1">
      <alignment horizontal="center" vertical="center"/>
      <protection/>
    </xf>
    <xf numFmtId="0" fontId="10" fillId="0" borderId="31" xfId="27" applyFont="1" applyBorder="1" applyAlignment="1">
      <alignment horizontal="center" vertical="center"/>
      <protection/>
    </xf>
    <xf numFmtId="0" fontId="27" fillId="0" borderId="32" xfId="26" applyFont="1" applyBorder="1" applyAlignment="1">
      <alignment horizontal="center" vertical="center" wrapText="1"/>
      <protection/>
    </xf>
    <xf numFmtId="0" fontId="27" fillId="0" borderId="1" xfId="28" applyFont="1" applyBorder="1" applyAlignment="1">
      <alignment horizontal="center" vertical="center" wrapText="1"/>
      <protection/>
    </xf>
    <xf numFmtId="0" fontId="27" fillId="0" borderId="33" xfId="26" applyFont="1" applyBorder="1" applyAlignment="1">
      <alignment horizontal="center" vertical="center" wrapText="1"/>
      <protection/>
    </xf>
    <xf numFmtId="0" fontId="27" fillId="0" borderId="34" xfId="28" applyFont="1" applyBorder="1" applyAlignment="1">
      <alignment horizontal="center" vertical="center" wrapText="1"/>
      <protection/>
    </xf>
  </cellXfs>
  <cellStyles count="19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AppendixTables(DemoDataFR)" xfId="26"/>
    <cellStyle name="Normal_decfrat" xfId="27"/>
    <cellStyle name="Normal_TablesAppendixD" xfId="28"/>
    <cellStyle name="Percent" xfId="29"/>
    <cellStyle name="style_col_headings" xfId="30"/>
    <cellStyle name="Total" xfId="31"/>
    <cellStyle name="Virgule fix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DemoData\OldComputations190020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Demo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returns(stata)"/>
    </sheetNames>
    <sheetDataSet>
      <sheetData sheetId="2">
        <row r="8">
          <cell r="K8">
            <v>1.2392954234613303</v>
          </cell>
        </row>
        <row r="9">
          <cell r="K9">
            <v>1.2221896655903803</v>
          </cell>
        </row>
        <row r="10">
          <cell r="K10">
            <v>1.195230421423871</v>
          </cell>
        </row>
        <row r="11">
          <cell r="K11">
            <v>1.25</v>
          </cell>
        </row>
        <row r="12">
          <cell r="K12">
            <v>1.25</v>
          </cell>
        </row>
        <row r="13">
          <cell r="K13">
            <v>1.25</v>
          </cell>
        </row>
        <row r="14">
          <cell r="K14">
            <v>1.25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  <sheetName val="TableB6"/>
      <sheetName val="TableB7"/>
      <sheetName val="TableB8"/>
      <sheetName val="TableB9"/>
      <sheetName val="TableB10"/>
      <sheetName val="TableB11"/>
      <sheetName val="TableB12"/>
      <sheetName val="TableB13"/>
      <sheetName val="TableB14"/>
      <sheetName val="TableB15"/>
      <sheetName val="TableB16"/>
      <sheetName val="TableB17"/>
      <sheetName val="TableB18"/>
      <sheetName val="TableB19"/>
      <sheetName val="TableB20"/>
      <sheetName val="TableB21(0%)"/>
      <sheetName val="TableB21(3%)"/>
      <sheetName val="TableB21(5%)"/>
      <sheetName val="FigureB1"/>
      <sheetName val="FigureB2"/>
    </sheetNames>
    <sheetDataSet>
      <sheetData sheetId="0">
        <row r="9">
          <cell r="B9">
            <v>0.8742812551338919</v>
          </cell>
        </row>
        <row r="10">
          <cell r="B10">
            <v>0.9080499255696782</v>
          </cell>
        </row>
        <row r="11">
          <cell r="B11">
            <v>0.9498105286115428</v>
          </cell>
        </row>
        <row r="12">
          <cell r="B12">
            <v>0.8491891891891892</v>
          </cell>
        </row>
        <row r="13">
          <cell r="B13">
            <v>0.9719634990560101</v>
          </cell>
        </row>
        <row r="14">
          <cell r="B14">
            <v>0.836375098502758</v>
          </cell>
        </row>
        <row r="15">
          <cell r="B15">
            <v>0.810794741362225</v>
          </cell>
        </row>
      </sheetData>
      <sheetData sheetId="3">
        <row r="22">
          <cell r="B22">
            <v>0.7384179</v>
          </cell>
        </row>
        <row r="23">
          <cell r="B23">
            <v>0.773213</v>
          </cell>
        </row>
        <row r="24">
          <cell r="B24">
            <v>0.8409497</v>
          </cell>
        </row>
        <row r="25">
          <cell r="B25">
            <v>0.8393951</v>
          </cell>
        </row>
        <row r="26">
          <cell r="B26">
            <v>0.8385444</v>
          </cell>
        </row>
        <row r="27">
          <cell r="B27">
            <v>0.8724406</v>
          </cell>
        </row>
        <row r="28">
          <cell r="B28">
            <v>0.8843626</v>
          </cell>
        </row>
      </sheetData>
      <sheetData sheetId="5">
        <row r="19">
          <cell r="B19">
            <v>0.18923393816503756</v>
          </cell>
          <cell r="C19">
            <v>0.2902846656004428</v>
          </cell>
          <cell r="D19">
            <v>1.0815139551898099</v>
          </cell>
          <cell r="E19">
            <v>1</v>
          </cell>
          <cell r="F19">
            <v>2.1146750627563726</v>
          </cell>
          <cell r="G19">
            <v>2.500119595442201</v>
          </cell>
          <cell r="H19">
            <v>3.0125904531782917</v>
          </cell>
        </row>
        <row r="20">
          <cell r="B20">
            <v>0.11947981239652385</v>
          </cell>
          <cell r="C20">
            <v>0.20985070344057102</v>
          </cell>
          <cell r="D20">
            <v>0.5041175617685733</v>
          </cell>
          <cell r="E20">
            <v>1</v>
          </cell>
          <cell r="F20">
            <v>1.5705510539396863</v>
          </cell>
          <cell r="G20">
            <v>2.4081108089823133</v>
          </cell>
          <cell r="H20">
            <v>3.8540155476255284</v>
          </cell>
        </row>
        <row r="21">
          <cell r="B21">
            <v>0.13066642177528873</v>
          </cell>
          <cell r="C21">
            <v>0.22911455773688988</v>
          </cell>
          <cell r="D21">
            <v>0.4768853219947329</v>
          </cell>
          <cell r="E21">
            <v>1</v>
          </cell>
          <cell r="F21">
            <v>2.154078771430267</v>
          </cell>
          <cell r="G21">
            <v>2.6266559584773095</v>
          </cell>
          <cell r="H21">
            <v>3.760483404366725</v>
          </cell>
        </row>
        <row r="22">
          <cell r="B22">
            <v>0.2553321077510845</v>
          </cell>
          <cell r="C22">
            <v>0.372484618269093</v>
          </cell>
          <cell r="D22">
            <v>0.7497424192760197</v>
          </cell>
          <cell r="E22">
            <v>1</v>
          </cell>
          <cell r="F22">
            <v>1.7432791000775016</v>
          </cell>
          <cell r="G22">
            <v>3.2825214012684536</v>
          </cell>
          <cell r="H22">
            <v>3.6752607574900487</v>
          </cell>
        </row>
        <row r="23">
          <cell r="B23">
            <v>0.1315894448099127</v>
          </cell>
          <cell r="C23">
            <v>0.26486972929243113</v>
          </cell>
          <cell r="D23">
            <v>0.5119949345063182</v>
          </cell>
          <cell r="E23">
            <v>1</v>
          </cell>
          <cell r="F23">
            <v>1.2873893352987857</v>
          </cell>
          <cell r="G23">
            <v>1.313638076752724</v>
          </cell>
          <cell r="H23">
            <v>1.9081897384453352</v>
          </cell>
        </row>
        <row r="24">
          <cell r="B24">
            <v>0.241104932011677</v>
          </cell>
          <cell r="C24">
            <v>0.3603962460960005</v>
          </cell>
          <cell r="D24">
            <v>0.5300221760140441</v>
          </cell>
          <cell r="E24">
            <v>1</v>
          </cell>
          <cell r="F24">
            <v>2.694875684757743</v>
          </cell>
          <cell r="G24">
            <v>2.6977795508194036</v>
          </cell>
          <cell r="H24">
            <v>2.9124593587133236</v>
          </cell>
        </row>
        <row r="25">
          <cell r="B25">
            <v>0.24570936230781903</v>
          </cell>
          <cell r="C25">
            <v>0.3965653667718063</v>
          </cell>
          <cell r="D25">
            <v>1.0592488787379468</v>
          </cell>
          <cell r="E25">
            <v>1</v>
          </cell>
          <cell r="F25">
            <v>1.6742766991985312</v>
          </cell>
          <cell r="G25">
            <v>2.39893419263566</v>
          </cell>
          <cell r="H25">
            <v>2.971047631687475</v>
          </cell>
        </row>
        <row r="53">
          <cell r="B53">
            <v>0.12274509803921568</v>
          </cell>
          <cell r="C53">
            <v>0.20531227566403445</v>
          </cell>
          <cell r="D53">
            <v>0.28406121687196717</v>
          </cell>
          <cell r="E53">
            <v>0.30729579698651865</v>
          </cell>
          <cell r="F53">
            <v>0.3837837837837838</v>
          </cell>
          <cell r="G53">
            <v>0.40144478844169246</v>
          </cell>
          <cell r="H53">
            <v>0.46839080459770116</v>
          </cell>
        </row>
        <row r="54">
          <cell r="B54">
            <v>0.1005278310940499</v>
          </cell>
          <cell r="C54">
            <v>0.1715076071922545</v>
          </cell>
          <cell r="D54">
            <v>0.24064925899788286</v>
          </cell>
          <cell r="E54">
            <v>0.2889952153110048</v>
          </cell>
          <cell r="F54">
            <v>0.3258023106546855</v>
          </cell>
          <cell r="G54">
            <v>0.3677304964539007</v>
          </cell>
          <cell r="H54">
            <v>0.46486028789161726</v>
          </cell>
        </row>
        <row r="55">
          <cell r="B55">
            <v>0.15305101700566856</v>
          </cell>
          <cell r="C55">
            <v>0.22454370797310277</v>
          </cell>
          <cell r="D55">
            <v>0.2765912455064496</v>
          </cell>
          <cell r="E55">
            <v>0.3045496750232126</v>
          </cell>
          <cell r="F55">
            <v>0.317493772753401</v>
          </cell>
          <cell r="G55">
            <v>0.31648304169367036</v>
          </cell>
          <cell r="H55">
            <v>0.33181818181818185</v>
          </cell>
        </row>
        <row r="56">
          <cell r="B56">
            <v>0.1351981351981352</v>
          </cell>
          <cell r="C56">
            <v>0.23748544819557627</v>
          </cell>
          <cell r="D56">
            <v>0.318405243036592</v>
          </cell>
          <cell r="E56">
            <v>0.37396840367837775</v>
          </cell>
          <cell r="F56">
            <v>0.37703209670696125</v>
          </cell>
          <cell r="G56">
            <v>0.355654413486303</v>
          </cell>
          <cell r="H56">
            <v>0.3474615742897066</v>
          </cell>
        </row>
        <row r="57">
          <cell r="B57">
            <v>0.14120781527531084</v>
          </cell>
          <cell r="C57">
            <v>0.25058915946582877</v>
          </cell>
          <cell r="D57">
            <v>0.31038343129023227</v>
          </cell>
          <cell r="E57">
            <v>0.3743523316062176</v>
          </cell>
          <cell r="F57">
            <v>0.3687244328746746</v>
          </cell>
          <cell r="G57">
            <v>0.3111600881586856</v>
          </cell>
          <cell r="H57">
            <v>0.30228948389600313</v>
          </cell>
        </row>
        <row r="58">
          <cell r="B58">
            <v>0.19712865819988956</v>
          </cell>
          <cell r="C58">
            <v>0.2510204081632653</v>
          </cell>
          <cell r="D58">
            <v>0.35337198657308516</v>
          </cell>
          <cell r="E58">
            <v>0.42200138664201525</v>
          </cell>
          <cell r="F58">
            <v>0.4424407632627385</v>
          </cell>
          <cell r="G58">
            <v>0.41189476011496795</v>
          </cell>
          <cell r="H58">
            <v>0.3813664596273292</v>
          </cell>
        </row>
        <row r="59">
          <cell r="B59">
            <v>0.22896790980052037</v>
          </cell>
          <cell r="C59">
            <v>0.2982620948802255</v>
          </cell>
          <cell r="D59">
            <v>0.3713065147739409</v>
          </cell>
          <cell r="E59">
            <v>0.4671325051759834</v>
          </cell>
          <cell r="F59">
            <v>0.4860930030421556</v>
          </cell>
          <cell r="G59">
            <v>0.46389447797898503</v>
          </cell>
          <cell r="H59">
            <v>0.4197150558336542</v>
          </cell>
        </row>
        <row r="87">
          <cell r="B87">
            <v>2550</v>
          </cell>
          <cell r="C87">
            <v>2786</v>
          </cell>
          <cell r="D87">
            <v>2679</v>
          </cell>
          <cell r="E87">
            <v>2522</v>
          </cell>
          <cell r="F87">
            <v>2405</v>
          </cell>
          <cell r="G87">
            <v>1938</v>
          </cell>
          <cell r="H87">
            <v>696</v>
          </cell>
        </row>
        <row r="88">
          <cell r="B88">
            <v>4168</v>
          </cell>
          <cell r="C88">
            <v>4338</v>
          </cell>
          <cell r="D88">
            <v>4251</v>
          </cell>
          <cell r="E88">
            <v>4180</v>
          </cell>
          <cell r="F88">
            <v>3895</v>
          </cell>
          <cell r="G88">
            <v>2820</v>
          </cell>
          <cell r="H88">
            <v>1181</v>
          </cell>
        </row>
        <row r="89">
          <cell r="B89">
            <v>2999</v>
          </cell>
          <cell r="C89">
            <v>4164</v>
          </cell>
          <cell r="D89">
            <v>4729</v>
          </cell>
          <cell r="E89">
            <v>5385</v>
          </cell>
          <cell r="F89">
            <v>5219</v>
          </cell>
          <cell r="G89">
            <v>4629</v>
          </cell>
          <cell r="H89">
            <v>2200</v>
          </cell>
        </row>
        <row r="90">
          <cell r="B90">
            <v>2145</v>
          </cell>
          <cell r="C90">
            <v>2577</v>
          </cell>
          <cell r="D90">
            <v>3662</v>
          </cell>
          <cell r="E90">
            <v>4241</v>
          </cell>
          <cell r="F90">
            <v>4798</v>
          </cell>
          <cell r="G90">
            <v>4271</v>
          </cell>
          <cell r="H90">
            <v>2147</v>
          </cell>
        </row>
        <row r="91">
          <cell r="B91">
            <v>2252</v>
          </cell>
          <cell r="C91">
            <v>2546</v>
          </cell>
          <cell r="D91">
            <v>3573</v>
          </cell>
          <cell r="E91">
            <v>4632</v>
          </cell>
          <cell r="F91">
            <v>5378</v>
          </cell>
          <cell r="G91">
            <v>4991</v>
          </cell>
          <cell r="H91">
            <v>2577</v>
          </cell>
        </row>
        <row r="92">
          <cell r="B92">
            <v>1811</v>
          </cell>
          <cell r="C92">
            <v>2450</v>
          </cell>
          <cell r="D92">
            <v>3277</v>
          </cell>
          <cell r="E92">
            <v>4327</v>
          </cell>
          <cell r="F92">
            <v>4769</v>
          </cell>
          <cell r="G92">
            <v>4523</v>
          </cell>
          <cell r="H92">
            <v>2415</v>
          </cell>
        </row>
        <row r="93">
          <cell r="B93">
            <v>1153</v>
          </cell>
          <cell r="C93">
            <v>2129</v>
          </cell>
          <cell r="D93">
            <v>2809</v>
          </cell>
          <cell r="E93">
            <v>3864</v>
          </cell>
          <cell r="F93">
            <v>4602</v>
          </cell>
          <cell r="G93">
            <v>4473</v>
          </cell>
          <cell r="H93">
            <v>2597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2">
        <row r="10">
          <cell r="E10">
            <v>5088.5779999999995</v>
          </cell>
          <cell r="F10">
            <v>4163.432</v>
          </cell>
          <cell r="G10">
            <v>3308.1040000000003</v>
          </cell>
          <cell r="H10">
            <v>2598.115</v>
          </cell>
          <cell r="I10">
            <v>1861.2620000000002</v>
          </cell>
          <cell r="J10">
            <v>901.1120000000001</v>
          </cell>
          <cell r="K10">
            <v>204.286</v>
          </cell>
        </row>
        <row r="11">
          <cell r="E11">
            <v>5136.136</v>
          </cell>
          <cell r="F11">
            <v>4206.232</v>
          </cell>
          <cell r="G11">
            <v>3348.301</v>
          </cell>
          <cell r="H11">
            <v>2602.33</v>
          </cell>
          <cell r="I11">
            <v>1867.541</v>
          </cell>
          <cell r="J11">
            <v>911.549</v>
          </cell>
          <cell r="K11">
            <v>204.276</v>
          </cell>
        </row>
        <row r="12">
          <cell r="E12">
            <v>5178.629999999999</v>
          </cell>
          <cell r="F12">
            <v>4248.869</v>
          </cell>
          <cell r="G12">
            <v>3388.817</v>
          </cell>
          <cell r="H12">
            <v>2610.4030000000002</v>
          </cell>
          <cell r="I12">
            <v>1873.056</v>
          </cell>
          <cell r="J12">
            <v>919.88</v>
          </cell>
          <cell r="K12">
            <v>205.47</v>
          </cell>
        </row>
        <row r="13">
          <cell r="E13">
            <v>5216.509</v>
          </cell>
          <cell r="F13">
            <v>4291.137</v>
          </cell>
          <cell r="G13">
            <v>3429.641</v>
          </cell>
          <cell r="H13">
            <v>2622.1270000000004</v>
          </cell>
          <cell r="I13">
            <v>1877.88</v>
          </cell>
          <cell r="J13">
            <v>927.047</v>
          </cell>
          <cell r="K13">
            <v>207.039</v>
          </cell>
        </row>
        <row r="14">
          <cell r="E14">
            <v>5250.1630000000005</v>
          </cell>
          <cell r="F14">
            <v>4333.026</v>
          </cell>
          <cell r="G14">
            <v>3470.639</v>
          </cell>
          <cell r="H14">
            <v>2637.23</v>
          </cell>
          <cell r="I14">
            <v>1882.041</v>
          </cell>
          <cell r="J14">
            <v>933.6469999999999</v>
          </cell>
          <cell r="K14">
            <v>208.779</v>
          </cell>
        </row>
        <row r="15">
          <cell r="E15">
            <v>5279.987</v>
          </cell>
          <cell r="F15">
            <v>4374.482</v>
          </cell>
          <cell r="G15">
            <v>3511.8050000000003</v>
          </cell>
          <cell r="H15">
            <v>2655.576</v>
          </cell>
          <cell r="I15">
            <v>1885.618</v>
          </cell>
          <cell r="J15">
            <v>940.093</v>
          </cell>
          <cell r="K15">
            <v>210.405</v>
          </cell>
        </row>
      </sheetData>
      <sheetData sheetId="8">
        <row r="22">
          <cell r="C22">
            <v>3537.943</v>
          </cell>
          <cell r="D22">
            <v>2917.38</v>
          </cell>
          <cell r="E22">
            <v>2618.975</v>
          </cell>
          <cell r="F22">
            <v>2265.263</v>
          </cell>
          <cell r="G22">
            <v>1828.032</v>
          </cell>
          <cell r="H22">
            <v>1378.906</v>
          </cell>
          <cell r="I22">
            <v>912.678</v>
          </cell>
          <cell r="J22">
            <v>448.183</v>
          </cell>
          <cell r="K22">
            <v>97.787</v>
          </cell>
        </row>
        <row r="62">
          <cell r="C62">
            <v>3538.337</v>
          </cell>
          <cell r="D62">
            <v>3107.958</v>
          </cell>
          <cell r="E62">
            <v>2815.417</v>
          </cell>
          <cell r="F62">
            <v>2559.32</v>
          </cell>
          <cell r="G62">
            <v>2275.992</v>
          </cell>
          <cell r="H62">
            <v>1733.192</v>
          </cell>
          <cell r="I62">
            <v>1230.408</v>
          </cell>
          <cell r="J62">
            <v>586.434</v>
          </cell>
          <cell r="K62">
            <v>113.846</v>
          </cell>
        </row>
        <row r="72">
          <cell r="C72">
            <v>3504.164</v>
          </cell>
          <cell r="D72">
            <v>3261.263</v>
          </cell>
          <cell r="E72">
            <v>2889.806</v>
          </cell>
          <cell r="F72">
            <v>2582.765</v>
          </cell>
          <cell r="G72">
            <v>2292.549</v>
          </cell>
          <cell r="H72">
            <v>1921.354</v>
          </cell>
          <cell r="I72">
            <v>1293.62</v>
          </cell>
          <cell r="J72">
            <v>629.282</v>
          </cell>
          <cell r="K72">
            <v>126.343</v>
          </cell>
        </row>
        <row r="102">
          <cell r="C102">
            <v>3316.61</v>
          </cell>
          <cell r="D102">
            <v>3276.227</v>
          </cell>
          <cell r="E102">
            <v>3046.331</v>
          </cell>
          <cell r="F102">
            <v>2929.419</v>
          </cell>
          <cell r="G102">
            <v>2440.23</v>
          </cell>
          <cell r="H102">
            <v>1981.835</v>
          </cell>
          <cell r="I102">
            <v>1412.807</v>
          </cell>
          <cell r="J102">
            <v>710.112</v>
          </cell>
          <cell r="K102">
            <v>157.188</v>
          </cell>
        </row>
        <row r="112">
          <cell r="C112">
            <v>2712.514</v>
          </cell>
          <cell r="D112">
            <v>3405.375</v>
          </cell>
          <cell r="E112">
            <v>2741.984</v>
          </cell>
          <cell r="F112">
            <v>2510.332</v>
          </cell>
          <cell r="G112">
            <v>2611.645</v>
          </cell>
          <cell r="H112">
            <v>2141.055</v>
          </cell>
          <cell r="I112">
            <v>1514.182</v>
          </cell>
          <cell r="J112">
            <v>746.586</v>
          </cell>
          <cell r="K112">
            <v>164.197</v>
          </cell>
        </row>
        <row r="117">
          <cell r="C117">
            <v>3111.833</v>
          </cell>
          <cell r="D117">
            <v>3098.026</v>
          </cell>
          <cell r="E117">
            <v>3379.346</v>
          </cell>
          <cell r="F117">
            <v>2588.745</v>
          </cell>
          <cell r="G117">
            <v>2483.436</v>
          </cell>
          <cell r="H117">
            <v>2235.999</v>
          </cell>
          <cell r="I117">
            <v>1591.192</v>
          </cell>
          <cell r="J117">
            <v>759.147</v>
          </cell>
          <cell r="K117">
            <v>170.099</v>
          </cell>
        </row>
        <row r="122">
          <cell r="C122">
            <v>3494.896</v>
          </cell>
          <cell r="D122">
            <v>2765.179</v>
          </cell>
          <cell r="E122">
            <v>3447.883</v>
          </cell>
          <cell r="F122">
            <v>2968.018</v>
          </cell>
          <cell r="G122">
            <v>2395.288</v>
          </cell>
          <cell r="H122">
            <v>2261.603</v>
          </cell>
          <cell r="I122">
            <v>1602.128</v>
          </cell>
          <cell r="J122">
            <v>802.15</v>
          </cell>
          <cell r="K122">
            <v>175.947</v>
          </cell>
        </row>
        <row r="127">
          <cell r="C127">
            <v>3239.885</v>
          </cell>
          <cell r="D127">
            <v>3083.389</v>
          </cell>
          <cell r="E127">
            <v>2986.643</v>
          </cell>
          <cell r="F127">
            <v>3311.199</v>
          </cell>
          <cell r="G127">
            <v>2358.376</v>
          </cell>
          <cell r="H127">
            <v>2119.57</v>
          </cell>
          <cell r="I127">
            <v>1675.927</v>
          </cell>
          <cell r="J127">
            <v>851.429</v>
          </cell>
          <cell r="K127">
            <v>186.725</v>
          </cell>
        </row>
        <row r="142">
          <cell r="C142">
            <v>3634.326</v>
          </cell>
          <cell r="D142">
            <v>2890.567</v>
          </cell>
          <cell r="E142">
            <v>3273.189</v>
          </cell>
          <cell r="F142">
            <v>2495.461</v>
          </cell>
          <cell r="G142">
            <v>3023.295</v>
          </cell>
          <cell r="H142">
            <v>2315.344</v>
          </cell>
          <cell r="I142">
            <v>1559.646</v>
          </cell>
          <cell r="J142">
            <v>948.307</v>
          </cell>
          <cell r="K142">
            <v>228.101</v>
          </cell>
        </row>
        <row r="182">
          <cell r="C182">
            <v>3875.779</v>
          </cell>
          <cell r="D182">
            <v>4039.429</v>
          </cell>
          <cell r="E182">
            <v>4310.161</v>
          </cell>
          <cell r="F182">
            <v>4275.626</v>
          </cell>
          <cell r="G182">
            <v>3848.593</v>
          </cell>
          <cell r="H182">
            <v>2823.83</v>
          </cell>
          <cell r="I182">
            <v>2581.741</v>
          </cell>
          <cell r="J182">
            <v>1359.349</v>
          </cell>
          <cell r="K182">
            <v>680.613</v>
          </cell>
        </row>
      </sheetData>
      <sheetData sheetId="9">
        <row r="22">
          <cell r="C22">
            <v>3497.685</v>
          </cell>
          <cell r="D22">
            <v>2972.692</v>
          </cell>
          <cell r="E22">
            <v>2723.622</v>
          </cell>
          <cell r="F22">
            <v>2410.805</v>
          </cell>
          <cell r="G22">
            <v>1958.248</v>
          </cell>
          <cell r="H22">
            <v>1484.665</v>
          </cell>
          <cell r="I22">
            <v>993.877</v>
          </cell>
          <cell r="J22">
            <v>521.044</v>
          </cell>
          <cell r="K22">
            <v>127.789</v>
          </cell>
        </row>
        <row r="62">
          <cell r="C62">
            <v>3531.868</v>
          </cell>
          <cell r="D62">
            <v>3065.886</v>
          </cell>
          <cell r="E62">
            <v>2799.489</v>
          </cell>
          <cell r="F62">
            <v>2537.962</v>
          </cell>
          <cell r="G62">
            <v>2293.807</v>
          </cell>
          <cell r="H62">
            <v>1859.121</v>
          </cell>
          <cell r="I62">
            <v>1400.549</v>
          </cell>
          <cell r="J62">
            <v>747.137</v>
          </cell>
          <cell r="K62">
            <v>179.354</v>
          </cell>
        </row>
        <row r="72">
          <cell r="C72">
            <v>3504.635</v>
          </cell>
          <cell r="D72">
            <v>3242.763</v>
          </cell>
          <cell r="E72">
            <v>2856.122</v>
          </cell>
          <cell r="F72">
            <v>2585.824</v>
          </cell>
          <cell r="G72">
            <v>2313.7</v>
          </cell>
          <cell r="H72">
            <v>2009.599</v>
          </cell>
          <cell r="I72">
            <v>1465.684</v>
          </cell>
          <cell r="J72">
            <v>795.816</v>
          </cell>
          <cell r="K72">
            <v>201.216</v>
          </cell>
        </row>
        <row r="102">
          <cell r="C102">
            <v>3278.306</v>
          </cell>
          <cell r="D102">
            <v>3248.194</v>
          </cell>
          <cell r="E102">
            <v>3118.603</v>
          </cell>
          <cell r="F102">
            <v>2954.227</v>
          </cell>
          <cell r="G102">
            <v>2505.275</v>
          </cell>
          <cell r="H102">
            <v>2098.89</v>
          </cell>
          <cell r="I102">
            <v>1631.34</v>
          </cell>
          <cell r="J102">
            <v>883.83</v>
          </cell>
          <cell r="K102">
            <v>240.011</v>
          </cell>
        </row>
        <row r="112">
          <cell r="C112">
            <v>2663.474</v>
          </cell>
          <cell r="D112">
            <v>3387.112</v>
          </cell>
          <cell r="E112">
            <v>3222.053</v>
          </cell>
          <cell r="F112">
            <v>3012.637</v>
          </cell>
          <cell r="G112">
            <v>2830.766</v>
          </cell>
          <cell r="H112">
            <v>2292.978</v>
          </cell>
          <cell r="I112">
            <v>1753.656</v>
          </cell>
          <cell r="J112">
            <v>999.105</v>
          </cell>
          <cell r="K112">
            <v>268.739</v>
          </cell>
        </row>
        <row r="117">
          <cell r="C117">
            <v>3050.923</v>
          </cell>
          <cell r="D117">
            <v>3056.513</v>
          </cell>
          <cell r="E117">
            <v>3369.424</v>
          </cell>
          <cell r="F117">
            <v>3080.645</v>
          </cell>
          <cell r="G117">
            <v>2844.494</v>
          </cell>
          <cell r="H117">
            <v>2421.98</v>
          </cell>
          <cell r="I117">
            <v>1850.979</v>
          </cell>
          <cell r="J117">
            <v>1022.724</v>
          </cell>
          <cell r="K117">
            <v>288.668</v>
          </cell>
        </row>
        <row r="122">
          <cell r="C122">
            <v>3417.941</v>
          </cell>
          <cell r="D122">
            <v>2702.575</v>
          </cell>
          <cell r="E122">
            <v>3323.359</v>
          </cell>
          <cell r="F122">
            <v>3206.223</v>
          </cell>
          <cell r="G122">
            <v>2863.8</v>
          </cell>
          <cell r="H122">
            <v>2550.507</v>
          </cell>
          <cell r="I122">
            <v>1890.301</v>
          </cell>
          <cell r="J122">
            <v>1081.743</v>
          </cell>
          <cell r="K122">
            <v>311.076</v>
          </cell>
        </row>
        <row r="127">
          <cell r="C127">
            <v>3199.503</v>
          </cell>
          <cell r="D127">
            <v>3018.156</v>
          </cell>
          <cell r="E127">
            <v>2941.797</v>
          </cell>
          <cell r="F127">
            <v>3256.15</v>
          </cell>
          <cell r="G127">
            <v>2892.44</v>
          </cell>
          <cell r="H127">
            <v>2564.148</v>
          </cell>
          <cell r="I127">
            <v>2002.524</v>
          </cell>
          <cell r="J127">
            <v>1170.709</v>
          </cell>
          <cell r="K127">
            <v>339.453</v>
          </cell>
        </row>
        <row r="142">
          <cell r="C142">
            <v>3500.846</v>
          </cell>
          <cell r="D142">
            <v>2828.253</v>
          </cell>
          <cell r="E142">
            <v>3171.958</v>
          </cell>
          <cell r="F142">
            <v>2498.982</v>
          </cell>
          <cell r="G142">
            <v>3047.864</v>
          </cell>
          <cell r="H142">
            <v>2765.934</v>
          </cell>
          <cell r="I142">
            <v>2234.347</v>
          </cell>
          <cell r="J142">
            <v>1442.26</v>
          </cell>
          <cell r="K142">
            <v>442.301</v>
          </cell>
        </row>
        <row r="182">
          <cell r="C182">
            <v>3698.9</v>
          </cell>
          <cell r="D182">
            <v>3859.407</v>
          </cell>
          <cell r="E182">
            <v>4281.323</v>
          </cell>
          <cell r="F182">
            <v>4296.362</v>
          </cell>
          <cell r="G182">
            <v>3770.378</v>
          </cell>
          <cell r="H182">
            <v>2899.884</v>
          </cell>
          <cell r="I182">
            <v>3021.561</v>
          </cell>
          <cell r="J182">
            <v>1963.021</v>
          </cell>
          <cell r="K182">
            <v>1524.576</v>
          </cell>
        </row>
      </sheetData>
      <sheetData sheetId="10">
        <row r="22">
          <cell r="C22">
            <v>169.317</v>
          </cell>
          <cell r="D22">
            <v>18.056</v>
          </cell>
          <cell r="E22">
            <v>26.237</v>
          </cell>
          <cell r="F22">
            <v>24.845</v>
          </cell>
          <cell r="G22">
            <v>26.215</v>
          </cell>
          <cell r="H22">
            <v>32.73</v>
          </cell>
          <cell r="I22">
            <v>44.194</v>
          </cell>
          <cell r="J22">
            <v>45.233</v>
          </cell>
          <cell r="K22">
            <v>20.846</v>
          </cell>
        </row>
        <row r="62">
          <cell r="C62">
            <v>158.491</v>
          </cell>
          <cell r="D62">
            <v>18.694</v>
          </cell>
          <cell r="E62">
            <v>23.352</v>
          </cell>
          <cell r="F62">
            <v>24.43</v>
          </cell>
          <cell r="G62">
            <v>30.389</v>
          </cell>
          <cell r="H62">
            <v>38.277</v>
          </cell>
          <cell r="I62">
            <v>49.32</v>
          </cell>
          <cell r="J62">
            <v>61.628</v>
          </cell>
          <cell r="K62">
            <v>23.075</v>
          </cell>
        </row>
        <row r="72">
          <cell r="C72">
            <v>145.454</v>
          </cell>
          <cell r="D72">
            <v>18.208</v>
          </cell>
          <cell r="E72">
            <v>23.028</v>
          </cell>
          <cell r="F72">
            <v>24.301</v>
          </cell>
          <cell r="G72">
            <v>30.918</v>
          </cell>
          <cell r="H72">
            <v>42.988</v>
          </cell>
          <cell r="I72">
            <v>51.998</v>
          </cell>
          <cell r="J72">
            <v>66.208</v>
          </cell>
          <cell r="K72">
            <v>25.899</v>
          </cell>
        </row>
        <row r="102">
          <cell r="C102">
            <v>70.048</v>
          </cell>
          <cell r="D102">
            <v>11.133</v>
          </cell>
          <cell r="E102">
            <v>21.053</v>
          </cell>
          <cell r="F102">
            <v>26.027</v>
          </cell>
          <cell r="G102">
            <v>32.569</v>
          </cell>
          <cell r="H102">
            <v>44.097</v>
          </cell>
          <cell r="I102">
            <v>61.502</v>
          </cell>
          <cell r="J102">
            <v>67.988</v>
          </cell>
          <cell r="K102">
            <v>30.05</v>
          </cell>
        </row>
        <row r="112">
          <cell r="C112">
            <v>54.22</v>
          </cell>
          <cell r="D112">
            <v>10.41</v>
          </cell>
          <cell r="E112">
            <v>17.647</v>
          </cell>
          <cell r="F112">
            <v>19.407</v>
          </cell>
          <cell r="G112">
            <v>30.445</v>
          </cell>
          <cell r="H112">
            <v>45.276</v>
          </cell>
          <cell r="I112">
            <v>65.024</v>
          </cell>
          <cell r="J112">
            <v>74.6</v>
          </cell>
          <cell r="K112">
            <v>34.832</v>
          </cell>
        </row>
        <row r="117">
          <cell r="C117">
            <v>54.002</v>
          </cell>
          <cell r="D117">
            <v>9.773</v>
          </cell>
          <cell r="E117">
            <v>19.369</v>
          </cell>
          <cell r="F117">
            <v>18.561</v>
          </cell>
          <cell r="G117">
            <v>28.046</v>
          </cell>
          <cell r="H117">
            <v>44.057</v>
          </cell>
          <cell r="I117">
            <v>65.27</v>
          </cell>
          <cell r="J117">
            <v>72.014</v>
          </cell>
          <cell r="K117">
            <v>36.123</v>
          </cell>
        </row>
        <row r="122">
          <cell r="C122">
            <v>48.706</v>
          </cell>
          <cell r="D122">
            <v>7.559</v>
          </cell>
          <cell r="E122">
            <v>18.043</v>
          </cell>
          <cell r="F122">
            <v>20.149</v>
          </cell>
          <cell r="G122">
            <v>26.945</v>
          </cell>
          <cell r="H122">
            <v>46.89</v>
          </cell>
          <cell r="I122">
            <v>66.726</v>
          </cell>
          <cell r="J122">
            <v>73.556</v>
          </cell>
          <cell r="K122">
            <v>34.974</v>
          </cell>
        </row>
        <row r="127">
          <cell r="C127">
            <v>35.898</v>
          </cell>
          <cell r="D127">
            <v>6.412</v>
          </cell>
          <cell r="E127">
            <v>14.163</v>
          </cell>
          <cell r="F127">
            <v>23.229</v>
          </cell>
          <cell r="G127">
            <v>27.108</v>
          </cell>
          <cell r="H127">
            <v>44.304</v>
          </cell>
          <cell r="I127">
            <v>68.828</v>
          </cell>
          <cell r="J127">
            <v>75.917</v>
          </cell>
          <cell r="K127">
            <v>36.156</v>
          </cell>
        </row>
        <row r="142">
          <cell r="C142">
            <v>26.519</v>
          </cell>
          <cell r="D142">
            <v>2.642</v>
          </cell>
          <cell r="E142">
            <v>6.013</v>
          </cell>
          <cell r="F142">
            <v>7.42</v>
          </cell>
          <cell r="G142">
            <v>20.776</v>
          </cell>
          <cell r="H142">
            <v>35.552</v>
          </cell>
          <cell r="I142">
            <v>52.485</v>
          </cell>
          <cell r="J142">
            <v>74.505</v>
          </cell>
          <cell r="K142">
            <v>40.952</v>
          </cell>
        </row>
        <row r="182">
          <cell r="C182">
            <v>4.033</v>
          </cell>
          <cell r="D182">
            <v>2.387</v>
          </cell>
          <cell r="E182">
            <v>6.84</v>
          </cell>
          <cell r="F182">
            <v>9.933</v>
          </cell>
          <cell r="G182">
            <v>16.594</v>
          </cell>
          <cell r="H182">
            <v>27.533</v>
          </cell>
          <cell r="I182">
            <v>54.86</v>
          </cell>
          <cell r="J182">
            <v>63.857</v>
          </cell>
          <cell r="K182">
            <v>85.469</v>
          </cell>
        </row>
      </sheetData>
      <sheetData sheetId="11">
        <row r="22">
          <cell r="C22">
            <v>144.374</v>
          </cell>
          <cell r="D22">
            <v>20.461</v>
          </cell>
          <cell r="E22">
            <v>25.084</v>
          </cell>
          <cell r="F22">
            <v>24.624</v>
          </cell>
          <cell r="G22">
            <v>24.77</v>
          </cell>
          <cell r="H22">
            <v>30.691</v>
          </cell>
          <cell r="I22">
            <v>41.772</v>
          </cell>
          <cell r="J22">
            <v>45.314</v>
          </cell>
          <cell r="K22">
            <v>24.249</v>
          </cell>
        </row>
        <row r="62">
          <cell r="C62">
            <v>136.433</v>
          </cell>
          <cell r="D62">
            <v>20.301</v>
          </cell>
          <cell r="E62">
            <v>21.323</v>
          </cell>
          <cell r="F62">
            <v>21.694</v>
          </cell>
          <cell r="G62">
            <v>24.841</v>
          </cell>
          <cell r="H62">
            <v>33.009</v>
          </cell>
          <cell r="I62">
            <v>47.001</v>
          </cell>
          <cell r="J62">
            <v>67.917</v>
          </cell>
          <cell r="K62">
            <v>32.774</v>
          </cell>
        </row>
        <row r="72">
          <cell r="C72">
            <v>124.638</v>
          </cell>
          <cell r="D72">
            <v>19.756</v>
          </cell>
          <cell r="E72">
            <v>20.882</v>
          </cell>
          <cell r="F72">
            <v>21.35</v>
          </cell>
          <cell r="G72">
            <v>24.321</v>
          </cell>
          <cell r="H72">
            <v>34.668</v>
          </cell>
          <cell r="I72">
            <v>48.503</v>
          </cell>
          <cell r="J72">
            <v>72.489</v>
          </cell>
          <cell r="K72">
            <v>37.235</v>
          </cell>
        </row>
        <row r="102">
          <cell r="C102">
            <v>58.982</v>
          </cell>
          <cell r="D102">
            <v>11.891</v>
          </cell>
          <cell r="E102">
            <v>18.733</v>
          </cell>
          <cell r="F102">
            <v>20.452</v>
          </cell>
          <cell r="G102">
            <v>22.739</v>
          </cell>
          <cell r="H102">
            <v>32.116</v>
          </cell>
          <cell r="I102">
            <v>54.907</v>
          </cell>
          <cell r="J102">
            <v>71.643</v>
          </cell>
          <cell r="K102">
            <v>41.209</v>
          </cell>
        </row>
        <row r="112">
          <cell r="C112">
            <v>43.295</v>
          </cell>
          <cell r="D112">
            <v>11.754</v>
          </cell>
          <cell r="E112">
            <v>18.699</v>
          </cell>
          <cell r="F112">
            <v>18.868</v>
          </cell>
          <cell r="G112">
            <v>24.084</v>
          </cell>
          <cell r="H112">
            <v>33.776</v>
          </cell>
          <cell r="I112">
            <v>56.53</v>
          </cell>
          <cell r="J112">
            <v>82.734</v>
          </cell>
          <cell r="K112">
            <v>50.63</v>
          </cell>
        </row>
        <row r="117">
          <cell r="C117">
            <v>44.196</v>
          </cell>
          <cell r="D117">
            <v>10.821</v>
          </cell>
          <cell r="E117">
            <v>18.295</v>
          </cell>
          <cell r="F117">
            <v>17.223</v>
          </cell>
          <cell r="G117">
            <v>21.709</v>
          </cell>
          <cell r="H117">
            <v>32.497</v>
          </cell>
          <cell r="I117">
            <v>55.365</v>
          </cell>
          <cell r="J117">
            <v>79.15</v>
          </cell>
          <cell r="K117">
            <v>53.345</v>
          </cell>
        </row>
        <row r="122">
          <cell r="C122">
            <v>38.585</v>
          </cell>
          <cell r="D122">
            <v>7.589</v>
          </cell>
          <cell r="E122">
            <v>15.171</v>
          </cell>
          <cell r="F122">
            <v>15.947</v>
          </cell>
          <cell r="G122">
            <v>21.295</v>
          </cell>
          <cell r="H122">
            <v>33.752</v>
          </cell>
          <cell r="I122">
            <v>55.449</v>
          </cell>
          <cell r="J122">
            <v>78.584</v>
          </cell>
          <cell r="K122">
            <v>53.86</v>
          </cell>
        </row>
        <row r="127">
          <cell r="C127">
            <v>28.035</v>
          </cell>
          <cell r="D127">
            <v>6.289</v>
          </cell>
          <cell r="E127">
            <v>11.776</v>
          </cell>
          <cell r="F127">
            <v>14.329</v>
          </cell>
          <cell r="G127">
            <v>19.568</v>
          </cell>
          <cell r="H127">
            <v>31.969</v>
          </cell>
          <cell r="I127">
            <v>53.865</v>
          </cell>
          <cell r="J127">
            <v>79.84</v>
          </cell>
          <cell r="K127">
            <v>55.191</v>
          </cell>
        </row>
        <row r="142">
          <cell r="C142">
            <v>20.258</v>
          </cell>
          <cell r="D142">
            <v>1.612</v>
          </cell>
          <cell r="E142">
            <v>3.78</v>
          </cell>
          <cell r="F142">
            <v>5.132</v>
          </cell>
          <cell r="G142">
            <v>12.332</v>
          </cell>
          <cell r="H142">
            <v>23.6</v>
          </cell>
          <cell r="I142">
            <v>45.121</v>
          </cell>
          <cell r="J142">
            <v>80.538</v>
          </cell>
          <cell r="K142">
            <v>65.55</v>
          </cell>
        </row>
        <row r="182">
          <cell r="C182">
            <v>2.807</v>
          </cell>
          <cell r="D182">
            <v>0.993</v>
          </cell>
          <cell r="E182">
            <v>2.243</v>
          </cell>
          <cell r="F182">
            <v>3.938</v>
          </cell>
          <cell r="G182">
            <v>6.612</v>
          </cell>
          <cell r="H182">
            <v>11.195</v>
          </cell>
          <cell r="I182">
            <v>25.313</v>
          </cell>
          <cell r="J182">
            <v>47.598</v>
          </cell>
          <cell r="K182">
            <v>149.325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tabSelected="1" workbookViewId="0" topLeftCell="A1">
      <pane ySplit="8" topLeftCell="BM9" activePane="bottomLeft" state="frozen"/>
      <selection pane="topLeft" activeCell="A1" sqref="A1"/>
      <selection pane="bottomLeft" activeCell="A3" sqref="A3:K34"/>
    </sheetView>
  </sheetViews>
  <sheetFormatPr defaultColWidth="10.25390625" defaultRowHeight="15.75"/>
  <cols>
    <col min="1" max="1" width="10.625" style="3" customWidth="1"/>
    <col min="2" max="9" width="9.625" style="3" customWidth="1"/>
    <col min="10" max="11" width="11.75390625" style="3" customWidth="1"/>
    <col min="12" max="16384" width="10.25390625" style="3" customWidth="1"/>
  </cols>
  <sheetData>
    <row r="2" spans="2:11" ht="15.75" thickBo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 thickTop="1">
      <c r="A3" s="173" t="s">
        <v>73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5">
      <c r="A4" s="5"/>
      <c r="B4" s="6"/>
      <c r="C4" s="6"/>
      <c r="D4" s="7"/>
      <c r="E4" s="7"/>
      <c r="F4" s="7"/>
      <c r="G4" s="7"/>
      <c r="H4" s="7"/>
      <c r="I4" s="7"/>
      <c r="J4" s="7"/>
      <c r="K4" s="8"/>
    </row>
    <row r="5" spans="1:11" ht="15">
      <c r="A5" s="35"/>
      <c r="B5" s="6"/>
      <c r="C5" s="6"/>
      <c r="D5" s="7"/>
      <c r="E5" s="7"/>
      <c r="F5" s="7"/>
      <c r="G5" s="7"/>
      <c r="H5" s="7"/>
      <c r="I5" s="7"/>
      <c r="J5" s="7"/>
      <c r="K5" s="8"/>
    </row>
    <row r="6" spans="1:11" ht="15">
      <c r="A6" s="35"/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/>
      <c r="K6" s="36"/>
    </row>
    <row r="7" spans="1:11" s="2" customFormat="1" ht="60" customHeight="1">
      <c r="A7" s="176" t="s">
        <v>0</v>
      </c>
      <c r="B7" s="38" t="s">
        <v>83</v>
      </c>
      <c r="C7" s="38" t="s">
        <v>67</v>
      </c>
      <c r="D7" s="38" t="s">
        <v>80</v>
      </c>
      <c r="E7" s="177" t="s">
        <v>81</v>
      </c>
      <c r="F7" s="177" t="s">
        <v>82</v>
      </c>
      <c r="G7" s="38" t="s">
        <v>68</v>
      </c>
      <c r="H7" s="39" t="s">
        <v>69</v>
      </c>
      <c r="I7" s="177" t="s">
        <v>84</v>
      </c>
      <c r="J7" s="38"/>
      <c r="K7" s="42"/>
    </row>
    <row r="8" spans="1:11" s="2" customFormat="1" ht="30" customHeight="1">
      <c r="A8" s="176"/>
      <c r="B8" s="40" t="s">
        <v>79</v>
      </c>
      <c r="C8" s="40" t="s">
        <v>70</v>
      </c>
      <c r="D8" s="41" t="s">
        <v>71</v>
      </c>
      <c r="E8" s="178"/>
      <c r="F8" s="178"/>
      <c r="G8" s="40" t="s">
        <v>72</v>
      </c>
      <c r="H8" s="39" t="s">
        <v>85</v>
      </c>
      <c r="I8" s="178"/>
      <c r="J8" s="51"/>
      <c r="K8" s="52"/>
    </row>
    <row r="9" spans="1:11" s="2" customFormat="1" ht="19.5" customHeight="1">
      <c r="A9" s="37"/>
      <c r="B9" s="168" t="s">
        <v>86</v>
      </c>
      <c r="C9" s="169"/>
      <c r="D9" s="169"/>
      <c r="E9" s="169"/>
      <c r="F9" s="169"/>
      <c r="G9" s="169"/>
      <c r="H9" s="169"/>
      <c r="I9" s="169"/>
      <c r="J9" s="171" t="s">
        <v>159</v>
      </c>
      <c r="K9" s="172"/>
    </row>
    <row r="10" spans="1:11" s="2" customFormat="1" ht="19.5" customHeight="1" thickBot="1">
      <c r="A10" s="37"/>
      <c r="B10" s="170"/>
      <c r="C10" s="170"/>
      <c r="D10" s="170"/>
      <c r="E10" s="170"/>
      <c r="F10" s="170"/>
      <c r="G10" s="170"/>
      <c r="H10" s="170"/>
      <c r="I10" s="170"/>
      <c r="J10" s="58" t="s">
        <v>160</v>
      </c>
      <c r="K10" s="59" t="s">
        <v>161</v>
      </c>
    </row>
    <row r="11" spans="1:11" s="2" customFormat="1" ht="15" customHeight="1">
      <c r="A11" s="15">
        <v>1832</v>
      </c>
      <c r="B11" s="30">
        <f>TableC2!B7</f>
        <v>938.23</v>
      </c>
      <c r="C11" s="30">
        <f>SUM(TableC2!E7:K7)</f>
        <v>655.5840000000001</v>
      </c>
      <c r="D11" s="43"/>
      <c r="E11" s="49">
        <f>(TableC2!C7+TableC2!D7)/TableC2!B7</f>
        <v>0.30125448983724673</v>
      </c>
      <c r="F11" s="50">
        <f>SUMPRODUCT(TableC2!E7:K7,TableC3!E$20:K$20)/TableC1!C11</f>
        <v>37.35510323619856</v>
      </c>
      <c r="G11" s="30"/>
      <c r="H11" s="43"/>
      <c r="I11" s="53"/>
      <c r="J11" s="44">
        <f>C11/C23</f>
        <v>0.0331607576254659</v>
      </c>
      <c r="K11" s="54"/>
    </row>
    <row r="12" spans="1:11" s="2" customFormat="1" ht="15" customHeight="1">
      <c r="A12" s="56">
        <v>1872</v>
      </c>
      <c r="B12" s="30">
        <f>TableC2!B8</f>
        <v>1848.2</v>
      </c>
      <c r="C12" s="30">
        <f>SUM(TableC2!E8:K8)</f>
        <v>1345.845</v>
      </c>
      <c r="D12" s="45">
        <f>((C12/C11)^(1/40))-1</f>
        <v>0.018143909076695275</v>
      </c>
      <c r="E12" s="49">
        <f>(TableC2!C8+TableC2!D8)/TableC2!B8</f>
        <v>0.27180770479385347</v>
      </c>
      <c r="F12" s="50">
        <f>SUMPRODUCT(TableC2!E8:K8,TableC3!E$20:K$20)/TableC1!C12</f>
        <v>39.57884637532554</v>
      </c>
      <c r="G12" s="30">
        <f>TableC4!B8</f>
        <v>24.348</v>
      </c>
      <c r="H12" s="62">
        <f aca="true" t="shared" si="0" ref="H12:H18">G12/C12</f>
        <v>0.01809123636079935</v>
      </c>
      <c r="I12" s="74">
        <f>SUMPRODUCT(TableC4!E8:K8,TableC3!E$20:K$20)/TableC1!G12</f>
        <v>49.21347882331716</v>
      </c>
      <c r="J12" s="62">
        <f>C12/C24</f>
        <v>0.05818102070428066</v>
      </c>
      <c r="K12" s="73">
        <f>G12/G24</f>
        <v>0.0487906538685049</v>
      </c>
    </row>
    <row r="13" spans="1:11" s="2" customFormat="1" ht="15" customHeight="1">
      <c r="A13" s="56">
        <v>1882</v>
      </c>
      <c r="B13" s="30">
        <f>TableC2!B9</f>
        <v>2269</v>
      </c>
      <c r="C13" s="30">
        <f>SUM(TableC2!E9:K9)</f>
        <v>1652.2683178227462</v>
      </c>
      <c r="D13" s="45">
        <f>((C13/C12)^(1/40))-1</f>
        <v>0.005141346930065627</v>
      </c>
      <c r="E13" s="49">
        <f>(TableC2!C9+TableC2!D9)/TableC2!B9</f>
        <v>0.27180770479385347</v>
      </c>
      <c r="F13" s="50">
        <f>SUMPRODUCT(TableC2!E9:K9,TableC3!E$20:K$20)/TableC1!C13</f>
        <v>39.57884637532555</v>
      </c>
      <c r="G13" s="30">
        <f>TableC4!B9</f>
        <v>34.932</v>
      </c>
      <c r="H13" s="62">
        <f>G13/C13</f>
        <v>0.021141844592185342</v>
      </c>
      <c r="I13" s="74">
        <f>SUMPRODUCT(TableC4!E9:K9,TableC3!E$20:K$20)/TableC1!G13</f>
        <v>50.1448518378322</v>
      </c>
      <c r="J13" s="62">
        <f>C13/C26</f>
        <v>0.06328081640378165</v>
      </c>
      <c r="K13" s="73">
        <f>G13/G26</f>
        <v>0.06408541787060734</v>
      </c>
    </row>
    <row r="14" spans="1:11" s="2" customFormat="1" ht="15" customHeight="1">
      <c r="A14" s="57">
        <v>1912</v>
      </c>
      <c r="B14" s="30">
        <f>TableC2!B10</f>
        <v>2837.9479999999994</v>
      </c>
      <c r="C14" s="30">
        <f>SUM(TableC2!E10:K10)</f>
        <v>2117.4059999999995</v>
      </c>
      <c r="D14" s="45">
        <f>((C14/C12)^(1/40))-1</f>
        <v>0.011393661056799065</v>
      </c>
      <c r="E14" s="49">
        <f>(TableC2!C10+TableC2!D10)/TableC2!B10</f>
        <v>0.25389542021206873</v>
      </c>
      <c r="F14" s="50">
        <f>SUMPRODUCT(TableC2!E10:K10,TableC3!E$20:K$20)/TableC1!C14</f>
        <v>39.67995604055151</v>
      </c>
      <c r="G14" s="30">
        <f>TableC4!B10</f>
        <v>36.681</v>
      </c>
      <c r="H14" s="62">
        <f t="shared" si="0"/>
        <v>0.01732355533138189</v>
      </c>
      <c r="I14" s="74">
        <f>SUMPRODUCT(TableC4!E10:K10,TableC3!E$20:K$20)/TableC1!G14</f>
        <v>54.21548311328474</v>
      </c>
      <c r="J14" s="62">
        <f aca="true" t="shared" si="1" ref="J14:J20">C14/C26</f>
        <v>0.08109529117814876</v>
      </c>
      <c r="K14" s="73">
        <f>G14/G26</f>
        <v>0.0672940917471587</v>
      </c>
    </row>
    <row r="15" spans="1:11" s="2" customFormat="1" ht="15" customHeight="1">
      <c r="A15" s="57">
        <v>1922</v>
      </c>
      <c r="B15" s="30">
        <f>TableC2!B11</f>
        <v>2840.9980000000005</v>
      </c>
      <c r="C15" s="30">
        <f>SUM(TableC2!E11:K11)</f>
        <v>2188.136</v>
      </c>
      <c r="D15" s="45">
        <f>((C15/C14)^(1/10))-1</f>
        <v>0.003291232778299902</v>
      </c>
      <c r="E15" s="49">
        <f>(TableC2!C11+TableC2!D11)/TableC2!B11</f>
        <v>0.22980023217193393</v>
      </c>
      <c r="F15" s="50">
        <f>SUMPRODUCT(TableC2!E11:K11,TableC3!E$20:K$20)/TableC1!C15</f>
        <v>40.93921584398776</v>
      </c>
      <c r="G15" s="30">
        <f>TableC4!B11</f>
        <v>33.3</v>
      </c>
      <c r="H15" s="62">
        <f t="shared" si="0"/>
        <v>0.015218432492313092</v>
      </c>
      <c r="I15" s="74">
        <f>SUMPRODUCT(TableC4!E11:K11,TableC3!E$20:K$20)/TableC1!G15</f>
        <v>56.64859333299155</v>
      </c>
      <c r="J15" s="62">
        <f t="shared" si="1"/>
        <v>0.08161667054893683</v>
      </c>
      <c r="K15" s="73">
        <f>G15/G27</f>
        <v>0.05816065615000907</v>
      </c>
    </row>
    <row r="16" spans="1:11" s="2" customFormat="1" ht="15" customHeight="1">
      <c r="A16" s="57">
        <v>1927</v>
      </c>
      <c r="B16" s="30">
        <f>TableC2!B12</f>
        <v>2800.61</v>
      </c>
      <c r="C16" s="30">
        <f>SUM(TableC2!E12:K12)</f>
        <v>2183.01</v>
      </c>
      <c r="D16" s="45">
        <f>((C16/C15)^(1/5))-1</f>
        <v>-0.000468966288899586</v>
      </c>
      <c r="E16" s="49">
        <f>(TableC2!C12+TableC2!D12)/TableC2!B12</f>
        <v>0.2205233859766265</v>
      </c>
      <c r="F16" s="50">
        <f>SUMPRODUCT(TableC2!E12:K12,TableC3!E$20:K$20)/TableC1!C16</f>
        <v>40.81137282925868</v>
      </c>
      <c r="G16" s="30">
        <f>TableC4!B12</f>
        <v>31.78</v>
      </c>
      <c r="H16" s="62">
        <f t="shared" si="0"/>
        <v>0.01455788109078749</v>
      </c>
      <c r="I16" s="74">
        <f>SUMPRODUCT(TableC4!E12:K12,TableC3!E$20:K$20)/TableC1!G16</f>
        <v>57.56050223365645</v>
      </c>
      <c r="J16" s="62">
        <f t="shared" si="1"/>
        <v>0.07772348354274193</v>
      </c>
      <c r="K16" s="73">
        <f>G16/G28</f>
        <v>0.05664641797855351</v>
      </c>
    </row>
    <row r="17" spans="1:11" s="2" customFormat="1" ht="15" customHeight="1">
      <c r="A17" s="57">
        <v>1932</v>
      </c>
      <c r="B17" s="30">
        <f>TableC2!B13</f>
        <v>2781.558</v>
      </c>
      <c r="C17" s="30">
        <f>SUM(TableC2!E13:K13)</f>
        <v>2203.255</v>
      </c>
      <c r="D17" s="71">
        <f>((C17/C16)^(1/5))-1</f>
        <v>0.0018479361254855053</v>
      </c>
      <c r="E17" s="49">
        <f>(TableC2!C13+TableC2!D13)/TableC2!B13</f>
        <v>0.20790614468581997</v>
      </c>
      <c r="F17" s="50">
        <f>SUMPRODUCT(TableC2!E13:K13,TableC3!E$20:K$20)/TableC1!C17</f>
        <v>41.36334536855697</v>
      </c>
      <c r="G17" s="30">
        <f>TableC4!B13</f>
        <v>31.725</v>
      </c>
      <c r="H17" s="62">
        <f t="shared" si="0"/>
        <v>0.014399150348007834</v>
      </c>
      <c r="I17" s="74">
        <f>SUMPRODUCT(TableC4!E13:K13,TableC3!E$20:K$20)/TableC1!G17</f>
        <v>58.71329660955374</v>
      </c>
      <c r="J17" s="62">
        <f t="shared" si="1"/>
        <v>0.07628992439272735</v>
      </c>
      <c r="K17" s="73">
        <f>G17/G29</f>
        <v>0.05651644900336872</v>
      </c>
    </row>
    <row r="18" spans="1:11" s="2" customFormat="1" ht="15" customHeight="1">
      <c r="A18" s="57">
        <v>1937</v>
      </c>
      <c r="B18" s="30">
        <f>TableC2!B14</f>
        <v>2767.629</v>
      </c>
      <c r="C18" s="30">
        <f>SUM(TableC2!E14:K14)</f>
        <v>2203.647</v>
      </c>
      <c r="D18" s="71">
        <f>((C18/C17)^(1/5))-1</f>
        <v>3.558118377977593E-05</v>
      </c>
      <c r="E18" s="49">
        <f>(TableC2!C14+TableC2!D14)/TableC2!B14</f>
        <v>0.20377803527857238</v>
      </c>
      <c r="F18" s="50">
        <f>SUMPRODUCT(TableC2!E14:K14,TableC3!E$20:K$20)/TableC1!C18</f>
        <v>42.30109972241471</v>
      </c>
      <c r="G18" s="30">
        <f>TableC4!B14</f>
        <v>30.274</v>
      </c>
      <c r="H18" s="62">
        <f t="shared" si="0"/>
        <v>0.013738135009826893</v>
      </c>
      <c r="I18" s="74">
        <f>SUMPRODUCT(TableC4!E14:K14,TableC3!E$20:K$20)/TableC1!G18</f>
        <v>59.27894431165619</v>
      </c>
      <c r="J18" s="62">
        <f t="shared" si="1"/>
        <v>0.0768970959717124</v>
      </c>
      <c r="K18" s="73">
        <f>G18/G30</f>
        <v>0.054425853448942275</v>
      </c>
    </row>
    <row r="19" spans="1:11" s="2" customFormat="1" ht="15" customHeight="1">
      <c r="A19" s="18">
        <v>1952</v>
      </c>
      <c r="B19" s="30">
        <f>TableC2!B15</f>
        <v>2850.589</v>
      </c>
      <c r="C19" s="61">
        <f>B19*(1-E19)</f>
        <v>2269.7015741932896</v>
      </c>
      <c r="D19" s="123">
        <f>((C19/C18)^(1/15))-1</f>
        <v>0.001970915880734392</v>
      </c>
      <c r="E19" s="60">
        <f>E18</f>
        <v>0.20377803527857238</v>
      </c>
      <c r="F19" s="50"/>
      <c r="G19" s="30"/>
      <c r="H19" s="43"/>
      <c r="I19" s="53"/>
      <c r="J19" s="44">
        <f t="shared" si="1"/>
        <v>0.07707754345251698</v>
      </c>
      <c r="K19" s="54"/>
    </row>
    <row r="20" spans="1:11" s="2" customFormat="1" ht="15" customHeight="1" thickBot="1">
      <c r="A20" s="63">
        <v>1992</v>
      </c>
      <c r="B20" s="64">
        <f>TableC2!B16</f>
        <v>2126.451</v>
      </c>
      <c r="C20" s="65">
        <f>B20*(1-E20)</f>
        <v>1693.1269931038444</v>
      </c>
      <c r="D20" s="124">
        <f>((C20/C19)^(1/40))-1</f>
        <v>-0.0073000057390048</v>
      </c>
      <c r="E20" s="66">
        <f>E19</f>
        <v>0.20377803527857238</v>
      </c>
      <c r="F20" s="67"/>
      <c r="G20" s="64"/>
      <c r="H20" s="68"/>
      <c r="I20" s="69"/>
      <c r="J20" s="125">
        <f t="shared" si="1"/>
        <v>0.04066398302356437</v>
      </c>
      <c r="K20" s="70"/>
    </row>
    <row r="21" spans="1:11" s="2" customFormat="1" ht="15" customHeight="1">
      <c r="A21" s="18"/>
      <c r="B21" s="168" t="s">
        <v>87</v>
      </c>
      <c r="C21" s="169"/>
      <c r="D21" s="169"/>
      <c r="E21" s="169"/>
      <c r="F21" s="169"/>
      <c r="G21" s="169"/>
      <c r="H21" s="169"/>
      <c r="I21" s="169"/>
      <c r="J21" s="53"/>
      <c r="K21" s="54"/>
    </row>
    <row r="22" spans="1:11" s="2" customFormat="1" ht="15" customHeight="1" thickBot="1">
      <c r="A22" s="18"/>
      <c r="B22" s="170"/>
      <c r="C22" s="170"/>
      <c r="D22" s="170"/>
      <c r="E22" s="170"/>
      <c r="F22" s="170"/>
      <c r="G22" s="170"/>
      <c r="H22" s="170"/>
      <c r="I22" s="170"/>
      <c r="J22" s="53"/>
      <c r="K22" s="54"/>
    </row>
    <row r="23" spans="1:11" s="2" customFormat="1" ht="15">
      <c r="A23" s="15">
        <v>1832</v>
      </c>
      <c r="B23" s="30">
        <f>TableC3!B7</f>
        <v>32695.574000000004</v>
      </c>
      <c r="C23" s="16">
        <f>SUM(TableC3!E7:K7)</f>
        <v>19769.874</v>
      </c>
      <c r="D23" s="45"/>
      <c r="E23" s="49">
        <f>(TableC3!C7+TableC3!D7)/TableC3!B7</f>
        <v>0.3953348548032831</v>
      </c>
      <c r="F23" s="50">
        <f>SUMPRODUCT(TableC3!E7:K7,TableC3!$E$20:$K$20)/TableC1!C23</f>
        <v>42.03433127596059</v>
      </c>
      <c r="G23" s="30">
        <f>SUM(TableC5!E7:K7)</f>
        <v>436.804</v>
      </c>
      <c r="H23" s="45">
        <f>G23/C23</f>
        <v>0.02209442508333639</v>
      </c>
      <c r="I23" s="50">
        <f>SUMPRODUCT(TableC5!E7:K7,TableC3!$E$20:$K$20)/TableC1!G23</f>
        <v>56.75407734361407</v>
      </c>
      <c r="J23" s="50"/>
      <c r="K23" s="55"/>
    </row>
    <row r="24" spans="1:11" s="2" customFormat="1" ht="15">
      <c r="A24" s="56">
        <v>1872</v>
      </c>
      <c r="B24" s="30">
        <f>TableC3!B8</f>
        <v>36376.077</v>
      </c>
      <c r="C24" s="16">
        <f>SUM(TableC3!E8:K8)</f>
        <v>23132.028000000002</v>
      </c>
      <c r="D24" s="45">
        <f>((C24/C23)^(1/40))-1</f>
        <v>0.003934190862717291</v>
      </c>
      <c r="E24" s="49">
        <f>(TableC3!C8+TableC3!D8)/TableC3!B8</f>
        <v>0.3640867870386353</v>
      </c>
      <c r="F24" s="50">
        <f>SUMPRODUCT(TableC3!E8:K8,TableC3!$E$20:$K$20)/TableC1!C24</f>
        <v>43.50598685078541</v>
      </c>
      <c r="G24" s="30">
        <f>SUM(TableC5!E8:K8)</f>
        <v>499.03</v>
      </c>
      <c r="H24" s="45">
        <f aca="true" t="shared" si="2" ref="H24:H32">G24/C24</f>
        <v>0.021573119313187755</v>
      </c>
      <c r="I24" s="50">
        <f>SUMPRODUCT(TableC5!E8:K8,TableC3!$E$20:$K$20)/TableC1!G24</f>
        <v>59.33848666412841</v>
      </c>
      <c r="J24" s="50"/>
      <c r="K24" s="55"/>
    </row>
    <row r="25" spans="1:11" s="2" customFormat="1" ht="15">
      <c r="A25" s="56">
        <v>1882</v>
      </c>
      <c r="B25" s="30">
        <f>TableC3!B9</f>
        <v>37476.505</v>
      </c>
      <c r="C25" s="16">
        <f>SUM(TableC3!E9:K9)</f>
        <v>23963.68</v>
      </c>
      <c r="D25" s="45">
        <f>((C25/C24)^(1/40))-1</f>
        <v>0.0008834199865097592</v>
      </c>
      <c r="E25" s="49">
        <f>(TableC3!C9+TableC3!D9)/TableC3!B9</f>
        <v>0.36056790781317527</v>
      </c>
      <c r="F25" s="50">
        <f>SUMPRODUCT(TableC3!E9:K9,TableC3!$E$20:$K$20)/TableC1!C25</f>
        <v>43.82174273734251</v>
      </c>
      <c r="G25" s="30">
        <f>SUM(TableC5!E9:K9)</f>
        <v>524.788</v>
      </c>
      <c r="H25" s="45">
        <f>G25/C25</f>
        <v>0.021899307618863214</v>
      </c>
      <c r="I25" s="50">
        <f>SUMPRODUCT(TableC5!E9:K9,TableC3!$E$20:$K$20)/TableC1!G25</f>
        <v>60.00748111618406</v>
      </c>
      <c r="J25" s="50"/>
      <c r="K25" s="55"/>
    </row>
    <row r="26" spans="1:11" ht="15">
      <c r="A26" s="57">
        <v>1912</v>
      </c>
      <c r="B26" s="30">
        <f>TableC3!B10</f>
        <v>39229.435</v>
      </c>
      <c r="C26" s="16">
        <f>SUM(TableC3!E10:K10)</f>
        <v>26110.097999999998</v>
      </c>
      <c r="D26" s="45">
        <f>((C26/C24)^(1/40))-1</f>
        <v>0.0030321874415049077</v>
      </c>
      <c r="E26" s="49">
        <f>(TableC3!C10+TableC3!D10)/TableC3!B10</f>
        <v>0.3344258463064788</v>
      </c>
      <c r="F26" s="50">
        <f>SUMPRODUCT(TableC3!E10:K10,TableC3!$E$20:$K$20)/TableC1!C26</f>
        <v>43.858917381313546</v>
      </c>
      <c r="G26" s="30">
        <f>SUM(TableC5!E10:K10)</f>
        <v>545.085</v>
      </c>
      <c r="H26" s="45">
        <f t="shared" si="2"/>
        <v>0.020876405749223923</v>
      </c>
      <c r="I26" s="50">
        <f>SUMPRODUCT(TableC5!E10:K10,TableC3!$E$20:$K$20)/TableC1!G26</f>
        <v>60.77102195070493</v>
      </c>
      <c r="J26" s="50"/>
      <c r="K26" s="55"/>
    </row>
    <row r="27" spans="1:11" ht="15">
      <c r="A27" s="57">
        <v>1922</v>
      </c>
      <c r="B27" s="30">
        <f>TableC3!B11</f>
        <v>38978.39</v>
      </c>
      <c r="C27" s="16">
        <f>SUM(TableC3!E11:K11)</f>
        <v>26809.915</v>
      </c>
      <c r="D27" s="45">
        <f>((C27/C26)^(1/10))-1</f>
        <v>0.00264846557767906</v>
      </c>
      <c r="E27" s="49">
        <f>(TableC3!C11+TableC3!D11)/TableC3!B11</f>
        <v>0.3121851620859661</v>
      </c>
      <c r="F27" s="50">
        <f>SUMPRODUCT(TableC3!E11:K11,TableC3!$E$20:$K$20)/TableC1!C27</f>
        <v>44.68182937170818</v>
      </c>
      <c r="G27" s="30">
        <f>SUM(TableC5!E11:K11)</f>
        <v>572.552</v>
      </c>
      <c r="H27" s="45">
        <f t="shared" si="2"/>
        <v>0.02135597968139772</v>
      </c>
      <c r="I27" s="50">
        <f>SUMPRODUCT(TableC5!E11:K11,TableC3!$E$20:$K$20)/TableC1!G27</f>
        <v>62.40305509368582</v>
      </c>
      <c r="J27" s="50"/>
      <c r="K27" s="55"/>
    </row>
    <row r="28" spans="1:11" ht="15">
      <c r="A28" s="57">
        <v>1927</v>
      </c>
      <c r="B28" s="30">
        <f>TableC3!B12</f>
        <v>40404.173</v>
      </c>
      <c r="C28" s="16">
        <f>SUM(TableC3!E12:K12)</f>
        <v>28086.877999999997</v>
      </c>
      <c r="D28" s="45">
        <f>((C28/C27)^(1/5))-1</f>
        <v>0.009349578858561358</v>
      </c>
      <c r="E28" s="49">
        <f>(TableC3!C12+TableC3!D12)/TableC3!B12</f>
        <v>0.30485205080178224</v>
      </c>
      <c r="F28" s="50">
        <f>SUMPRODUCT(TableC3!E12:K12,TableC3!$E$20:$K$20)/TableC1!C28</f>
        <v>44.34194469744912</v>
      </c>
      <c r="G28" s="30">
        <f>SUM(TableC5!E12:K12)</f>
        <v>561.024</v>
      </c>
      <c r="H28" s="45">
        <f t="shared" si="2"/>
        <v>0.019974594541977933</v>
      </c>
      <c r="I28" s="50">
        <f>SUMPRODUCT(TableC5!E12:K12,TableC3!$E$20:$K$20)/TableC1!G28</f>
        <v>62.64674595026238</v>
      </c>
      <c r="J28" s="50"/>
      <c r="K28" s="55"/>
    </row>
    <row r="29" spans="1:11" ht="15">
      <c r="A29" s="57">
        <v>1932</v>
      </c>
      <c r="B29" s="30">
        <f>TableC3!B13</f>
        <v>41260.617000000006</v>
      </c>
      <c r="C29" s="16">
        <f>SUM(TableC3!E13:K13)</f>
        <v>28880.026</v>
      </c>
      <c r="D29" s="45">
        <f>((C29/C28)^(1/5))-1</f>
        <v>0.005585083170526195</v>
      </c>
      <c r="E29" s="49">
        <f>(TableC3!C13+TableC3!D13)/TableC3!B13</f>
        <v>0.300058309840592</v>
      </c>
      <c r="F29" s="50">
        <f>SUMPRODUCT(TableC3!E13:K13,TableC3!$E$20:$K$20)/TableC1!C29</f>
        <v>44.38920162329494</v>
      </c>
      <c r="G29" s="30">
        <f>SUM(TableC5!E13:K13)</f>
        <v>561.341</v>
      </c>
      <c r="H29" s="45">
        <f t="shared" si="2"/>
        <v>0.01943699773677489</v>
      </c>
      <c r="I29" s="50">
        <f>SUMPRODUCT(TableC5!E13:K13,TableC3!$E$20:$K$20)/TableC1!G29</f>
        <v>62.924166415779354</v>
      </c>
      <c r="J29" s="50"/>
      <c r="K29" s="55"/>
    </row>
    <row r="30" spans="1:11" ht="15">
      <c r="A30" s="57">
        <v>1937</v>
      </c>
      <c r="B30" s="30">
        <f>TableC3!B14</f>
        <v>41198.023</v>
      </c>
      <c r="C30" s="16">
        <f>SUM(TableC3!E14:K14)</f>
        <v>28657.090000000004</v>
      </c>
      <c r="D30" s="45">
        <f>((C30/C29)^(1/5))-1</f>
        <v>-0.0015486660366256233</v>
      </c>
      <c r="E30" s="49">
        <f>(TableC3!C14+TableC3!D14)/TableC3!B14</f>
        <v>0.30440618473367037</v>
      </c>
      <c r="F30" s="50">
        <f>SUMPRODUCT(TableC3!E14:K14,TableC3!$E$20:$K$20)/TableC1!C30</f>
        <v>45.123760821493036</v>
      </c>
      <c r="G30" s="30">
        <f>SUM(TableC5!E14:K14)</f>
        <v>556.243</v>
      </c>
      <c r="H30" s="45">
        <f t="shared" si="2"/>
        <v>0.019410309979136054</v>
      </c>
      <c r="I30" s="50">
        <f>SUMPRODUCT(TableC5!E14:K14,TableC3!$E$20:$K$20)/TableC1!G30</f>
        <v>63.64418698302719</v>
      </c>
      <c r="J30" s="50"/>
      <c r="K30" s="55"/>
    </row>
    <row r="31" spans="1:11" ht="15">
      <c r="A31" s="18">
        <v>1952</v>
      </c>
      <c r="B31" s="30">
        <f>TableC3!B15</f>
        <v>42300.981</v>
      </c>
      <c r="C31" s="16">
        <f>SUM(TableC3!E15:K15)</f>
        <v>29446.989</v>
      </c>
      <c r="D31" s="45">
        <f>((C31/C30)^(1/15))-1</f>
        <v>0.0018143627532185569</v>
      </c>
      <c r="E31" s="49">
        <f>(TableC3!C15+TableC3!D15)/TableC3!B15</f>
        <v>0.3038698322386424</v>
      </c>
      <c r="F31" s="50">
        <f>SUMPRODUCT(TableC3!E15:K15,TableC3!$E$20:$K$20)/TableC1!C31</f>
        <v>46.07497800539131</v>
      </c>
      <c r="G31" s="30">
        <f>SUM(TableC5!E15:K15)</f>
        <v>473.75600000000003</v>
      </c>
      <c r="H31" s="45">
        <f t="shared" si="2"/>
        <v>0.016088436070662435</v>
      </c>
      <c r="I31" s="50">
        <f>SUMPRODUCT(TableC5!E15:K15,TableC3!$E$20:$K$20)/TableC1!G31</f>
        <v>68.00076832800006</v>
      </c>
      <c r="J31" s="50"/>
      <c r="K31" s="55"/>
    </row>
    <row r="32" spans="1:11" ht="15.75" thickBot="1">
      <c r="A32" s="18">
        <v>1992</v>
      </c>
      <c r="B32" s="30">
        <f>TableC3!B16</f>
        <v>57110.53300000001</v>
      </c>
      <c r="C32" s="16">
        <f>SUM(TableC3!E16:K16)</f>
        <v>41637.018000000004</v>
      </c>
      <c r="D32" s="45">
        <f>((C32/C31)^(1/40))-1</f>
        <v>0.008697554924739226</v>
      </c>
      <c r="E32" s="49">
        <f>(TableC3!C16+TableC3!D16)/TableC3!B16</f>
        <v>0.27093977568025845</v>
      </c>
      <c r="F32" s="50">
        <f>SUMPRODUCT(TableC3!E16:K16,TableC3!$E$20:$K$20)/TableC1!C32</f>
        <v>46.89287741499643</v>
      </c>
      <c r="G32" s="30">
        <f>SUM(TableC5!E16:K16)</f>
        <v>511.31</v>
      </c>
      <c r="H32" s="45">
        <f t="shared" si="2"/>
        <v>0.012280178181828486</v>
      </c>
      <c r="I32" s="50">
        <f>SUMPRODUCT(TableC5!E16:K16,TableC3!$E$20:$K$20)/TableC1!G32</f>
        <v>72.67425827775713</v>
      </c>
      <c r="J32" s="50"/>
      <c r="K32" s="55"/>
    </row>
    <row r="33" spans="1:11" ht="15.75" thickTop="1">
      <c r="A33" s="162" t="s">
        <v>138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4"/>
    </row>
    <row r="34" spans="1:11" ht="15.75" thickBo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7"/>
    </row>
    <row r="35" spans="1:6" ht="15.75" thickTop="1">
      <c r="A35" s="19"/>
      <c r="B35" s="19"/>
      <c r="C35" s="19"/>
      <c r="D35" s="19"/>
      <c r="E35" s="19"/>
      <c r="F35" s="19"/>
    </row>
    <row r="36" spans="1:6" ht="15">
      <c r="A36" s="19"/>
      <c r="B36" s="19"/>
      <c r="C36" s="19"/>
      <c r="D36" s="19"/>
      <c r="E36" s="19"/>
      <c r="F36" s="19"/>
    </row>
    <row r="37" spans="1:6" ht="15">
      <c r="A37" s="19"/>
      <c r="B37" s="19"/>
      <c r="C37" s="19"/>
      <c r="D37" s="19"/>
      <c r="E37" s="19"/>
      <c r="F37" s="19"/>
    </row>
    <row r="38" spans="1:6" ht="15">
      <c r="A38" s="19"/>
      <c r="B38" s="19"/>
      <c r="C38" s="19"/>
      <c r="D38" s="19"/>
      <c r="E38" s="19"/>
      <c r="F38" s="19"/>
    </row>
    <row r="39" spans="1:6" ht="15">
      <c r="A39" s="19"/>
      <c r="B39" s="19"/>
      <c r="C39" s="19"/>
      <c r="D39" s="19"/>
      <c r="E39" s="19"/>
      <c r="F39" s="19"/>
    </row>
    <row r="40" spans="1:6" ht="15">
      <c r="A40" s="19"/>
      <c r="B40" s="19"/>
      <c r="C40" s="19"/>
      <c r="D40" s="19"/>
      <c r="E40" s="19"/>
      <c r="F40" s="19"/>
    </row>
    <row r="41" spans="1:6" ht="15">
      <c r="A41" s="19"/>
      <c r="B41" s="19"/>
      <c r="C41" s="19"/>
      <c r="D41" s="19"/>
      <c r="E41" s="19"/>
      <c r="F41" s="19"/>
    </row>
    <row r="42" spans="1:6" ht="15">
      <c r="A42" s="19"/>
      <c r="B42" s="19"/>
      <c r="C42" s="19"/>
      <c r="D42" s="19"/>
      <c r="E42" s="19"/>
      <c r="F42" s="19"/>
    </row>
    <row r="43" spans="1:6" ht="15">
      <c r="A43" s="19"/>
      <c r="B43" s="19"/>
      <c r="C43" s="19"/>
      <c r="D43" s="19"/>
      <c r="E43" s="19"/>
      <c r="F43" s="19"/>
    </row>
    <row r="44" spans="1:6" ht="15">
      <c r="A44" s="19"/>
      <c r="B44" s="19"/>
      <c r="C44" s="19"/>
      <c r="D44" s="19"/>
      <c r="E44" s="19"/>
      <c r="F44" s="19"/>
    </row>
    <row r="45" spans="1:6" ht="15">
      <c r="A45" s="19"/>
      <c r="B45" s="19"/>
      <c r="C45" s="19"/>
      <c r="D45" s="19"/>
      <c r="E45" s="19"/>
      <c r="F45" s="19"/>
    </row>
    <row r="46" spans="1:6" ht="15">
      <c r="A46" s="19"/>
      <c r="B46" s="19"/>
      <c r="C46" s="19"/>
      <c r="D46" s="19"/>
      <c r="E46" s="19"/>
      <c r="F46" s="19"/>
    </row>
    <row r="47" spans="1:6" ht="15">
      <c r="A47" s="19"/>
      <c r="B47" s="19"/>
      <c r="C47" s="19"/>
      <c r="D47" s="19"/>
      <c r="E47" s="19"/>
      <c r="F47" s="19"/>
    </row>
    <row r="48" spans="1:6" ht="15">
      <c r="A48" s="19"/>
      <c r="B48" s="19"/>
      <c r="C48" s="19"/>
      <c r="D48" s="19"/>
      <c r="E48" s="19"/>
      <c r="F48" s="19"/>
    </row>
    <row r="49" spans="1:6" ht="15">
      <c r="A49" s="19"/>
      <c r="B49" s="19"/>
      <c r="C49" s="19"/>
      <c r="D49" s="19"/>
      <c r="E49" s="19"/>
      <c r="F49" s="19"/>
    </row>
    <row r="50" spans="1:6" ht="15">
      <c r="A50" s="19"/>
      <c r="B50" s="19"/>
      <c r="C50" s="19"/>
      <c r="D50" s="19"/>
      <c r="E50" s="19"/>
      <c r="F50" s="19"/>
    </row>
    <row r="51" spans="1:6" ht="15">
      <c r="A51" s="19"/>
      <c r="B51" s="19"/>
      <c r="C51" s="19"/>
      <c r="D51" s="19"/>
      <c r="E51" s="19"/>
      <c r="F51" s="19"/>
    </row>
    <row r="52" spans="1:6" ht="15">
      <c r="A52" s="19"/>
      <c r="B52" s="19"/>
      <c r="C52" s="19"/>
      <c r="D52" s="19"/>
      <c r="E52" s="19"/>
      <c r="F52" s="19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19"/>
      <c r="B56" s="19"/>
      <c r="C56" s="19"/>
      <c r="D56" s="19"/>
      <c r="E56" s="19"/>
      <c r="F56" s="19"/>
    </row>
    <row r="57" spans="1:6" ht="15">
      <c r="A57" s="19"/>
      <c r="B57" s="19"/>
      <c r="C57" s="19"/>
      <c r="D57" s="19"/>
      <c r="E57" s="19"/>
      <c r="F57" s="19"/>
    </row>
    <row r="58" spans="1:6" ht="15">
      <c r="A58" s="19"/>
      <c r="B58" s="19"/>
      <c r="C58" s="19"/>
      <c r="D58" s="19"/>
      <c r="E58" s="19"/>
      <c r="F58" s="19"/>
    </row>
    <row r="59" spans="1:6" ht="15">
      <c r="A59" s="19"/>
      <c r="B59" s="19"/>
      <c r="C59" s="19"/>
      <c r="D59" s="19"/>
      <c r="E59" s="19"/>
      <c r="F59" s="19"/>
    </row>
    <row r="60" spans="1:6" ht="15">
      <c r="A60" s="19"/>
      <c r="B60" s="19"/>
      <c r="C60" s="19"/>
      <c r="D60" s="19"/>
      <c r="E60" s="19"/>
      <c r="F60" s="19"/>
    </row>
    <row r="61" spans="1:6" ht="15">
      <c r="A61" s="19"/>
      <c r="B61" s="19"/>
      <c r="C61" s="19"/>
      <c r="D61" s="19"/>
      <c r="E61" s="19"/>
      <c r="F61" s="19"/>
    </row>
    <row r="62" spans="1:6" ht="15">
      <c r="A62" s="19"/>
      <c r="B62" s="19"/>
      <c r="C62" s="19"/>
      <c r="D62" s="19"/>
      <c r="E62" s="19"/>
      <c r="F62" s="19"/>
    </row>
    <row r="63" spans="1:6" ht="15">
      <c r="A63" s="19"/>
      <c r="B63" s="19"/>
      <c r="C63" s="19"/>
      <c r="D63" s="19"/>
      <c r="E63" s="19"/>
      <c r="F63" s="19"/>
    </row>
    <row r="64" spans="1:6" ht="15">
      <c r="A64" s="19"/>
      <c r="B64" s="19"/>
      <c r="C64" s="19"/>
      <c r="D64" s="19"/>
      <c r="E64" s="19"/>
      <c r="F64" s="19"/>
    </row>
    <row r="65" spans="1:6" ht="15">
      <c r="A65" s="19"/>
      <c r="B65" s="19"/>
      <c r="C65" s="19"/>
      <c r="D65" s="19"/>
      <c r="E65" s="19"/>
      <c r="F65" s="19"/>
    </row>
    <row r="66" spans="1:6" ht="15">
      <c r="A66" s="19"/>
      <c r="B66" s="19"/>
      <c r="C66" s="19"/>
      <c r="D66" s="19"/>
      <c r="E66" s="19"/>
      <c r="F66" s="19"/>
    </row>
    <row r="67" spans="1:6" ht="15">
      <c r="A67" s="19"/>
      <c r="B67" s="19"/>
      <c r="C67" s="19"/>
      <c r="D67" s="19"/>
      <c r="E67" s="19"/>
      <c r="F67" s="19"/>
    </row>
    <row r="68" spans="1:6" ht="15">
      <c r="A68" s="19"/>
      <c r="B68" s="19"/>
      <c r="C68" s="19"/>
      <c r="D68" s="19"/>
      <c r="E68" s="19"/>
      <c r="F68" s="19"/>
    </row>
    <row r="69" spans="1:6" ht="15">
      <c r="A69" s="19"/>
      <c r="B69" s="19"/>
      <c r="C69" s="19"/>
      <c r="D69" s="19"/>
      <c r="E69" s="19"/>
      <c r="F69" s="19"/>
    </row>
    <row r="70" spans="1:6" ht="15">
      <c r="A70" s="19"/>
      <c r="B70" s="19"/>
      <c r="C70" s="19"/>
      <c r="D70" s="19"/>
      <c r="E70" s="19"/>
      <c r="F70" s="19"/>
    </row>
    <row r="71" spans="1:6" ht="15">
      <c r="A71" s="19"/>
      <c r="B71" s="19"/>
      <c r="C71" s="19"/>
      <c r="D71" s="19"/>
      <c r="E71" s="19"/>
      <c r="F71" s="19"/>
    </row>
    <row r="72" spans="1:6" ht="15">
      <c r="A72" s="19"/>
      <c r="B72" s="19"/>
      <c r="C72" s="19"/>
      <c r="D72" s="19"/>
      <c r="E72" s="19"/>
      <c r="F72" s="19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  <row r="78" spans="1:6" ht="15">
      <c r="A78" s="19"/>
      <c r="B78" s="19"/>
      <c r="C78" s="19"/>
      <c r="D78" s="19"/>
      <c r="E78" s="19"/>
      <c r="F78" s="19"/>
    </row>
    <row r="79" spans="1:6" ht="15">
      <c r="A79" s="19"/>
      <c r="B79" s="19"/>
      <c r="C79" s="19"/>
      <c r="D79" s="19"/>
      <c r="E79" s="19"/>
      <c r="F79" s="19"/>
    </row>
    <row r="80" spans="1:6" ht="15">
      <c r="A80" s="19"/>
      <c r="B80" s="19"/>
      <c r="C80" s="19"/>
      <c r="D80" s="19"/>
      <c r="E80" s="19"/>
      <c r="F80" s="19"/>
    </row>
    <row r="81" spans="1:6" ht="15">
      <c r="A81" s="19"/>
      <c r="B81" s="19"/>
      <c r="C81" s="19"/>
      <c r="D81" s="19"/>
      <c r="E81" s="19"/>
      <c r="F81" s="19"/>
    </row>
    <row r="82" spans="1:6" ht="15">
      <c r="A82" s="19"/>
      <c r="B82" s="19"/>
      <c r="C82" s="19"/>
      <c r="D82" s="19"/>
      <c r="E82" s="19"/>
      <c r="F82" s="19"/>
    </row>
    <row r="83" spans="1:6" ht="15">
      <c r="A83" s="19"/>
      <c r="B83" s="19"/>
      <c r="C83" s="19"/>
      <c r="D83" s="19"/>
      <c r="E83" s="19"/>
      <c r="F83" s="19"/>
    </row>
    <row r="84" spans="1:6" ht="15">
      <c r="A84" s="19"/>
      <c r="B84" s="19"/>
      <c r="C84" s="19"/>
      <c r="D84" s="19"/>
      <c r="E84" s="19"/>
      <c r="F84" s="19"/>
    </row>
    <row r="85" spans="1:6" ht="15">
      <c r="A85" s="19"/>
      <c r="B85" s="19"/>
      <c r="C85" s="19"/>
      <c r="D85" s="19"/>
      <c r="E85" s="19"/>
      <c r="F85" s="19"/>
    </row>
    <row r="86" spans="1:6" ht="15">
      <c r="A86" s="19"/>
      <c r="B86" s="19"/>
      <c r="C86" s="19"/>
      <c r="D86" s="19"/>
      <c r="E86" s="19"/>
      <c r="F86" s="19"/>
    </row>
    <row r="87" spans="1:6" ht="15">
      <c r="A87" s="19"/>
      <c r="B87" s="19"/>
      <c r="C87" s="19"/>
      <c r="D87" s="19"/>
      <c r="E87" s="19"/>
      <c r="F87" s="19"/>
    </row>
  </sheetData>
  <mergeCells count="9">
    <mergeCell ref="A3:K3"/>
    <mergeCell ref="A7:A8"/>
    <mergeCell ref="E7:E8"/>
    <mergeCell ref="F7:F8"/>
    <mergeCell ref="I7:I8"/>
    <mergeCell ref="A33:K34"/>
    <mergeCell ref="B21:I22"/>
    <mergeCell ref="B9:I10"/>
    <mergeCell ref="J9:K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90"/>
  <sheetViews>
    <sheetView workbookViewId="0" topLeftCell="A1">
      <selection activeCell="A3" sqref="A3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384" width="10.25390625" style="3" customWidth="1"/>
  </cols>
  <sheetData>
    <row r="2" spans="1:15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 thickTop="1">
      <c r="A5" s="173" t="s">
        <v>125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4"/>
      <c r="M5" s="4"/>
      <c r="N5" s="4"/>
      <c r="O5" s="4"/>
    </row>
    <row r="6" spans="1:15" ht="15">
      <c r="A6" s="5"/>
      <c r="B6" s="6"/>
      <c r="C6" s="7"/>
      <c r="D6" s="7"/>
      <c r="E6" s="7"/>
      <c r="F6" s="7"/>
      <c r="G6" s="7"/>
      <c r="H6" s="7"/>
      <c r="I6" s="7"/>
      <c r="J6" s="7"/>
      <c r="K6" s="8"/>
      <c r="L6" s="4"/>
      <c r="M6" s="4"/>
      <c r="N6" s="4"/>
      <c r="O6" s="4"/>
    </row>
    <row r="7" spans="1:15" ht="15">
      <c r="A7" s="17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10" t="s">
        <v>10</v>
      </c>
      <c r="L7" s="11"/>
      <c r="M7" s="4"/>
      <c r="N7" s="4"/>
      <c r="O7" s="4"/>
    </row>
    <row r="8" spans="1:15" s="2" customFormat="1" ht="30" customHeight="1">
      <c r="A8" s="180"/>
      <c r="B8" s="12" t="s">
        <v>11</v>
      </c>
      <c r="C8" s="12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4" t="s">
        <v>20</v>
      </c>
      <c r="L8" s="4"/>
      <c r="M8" s="1"/>
      <c r="N8" s="1"/>
      <c r="O8" s="1"/>
    </row>
    <row r="9" spans="1:15" s="2" customFormat="1" ht="0.75" customHeight="1">
      <c r="A9" s="26"/>
      <c r="B9" s="27"/>
      <c r="C9" s="27" t="s">
        <v>30</v>
      </c>
      <c r="D9" s="28" t="s">
        <v>31</v>
      </c>
      <c r="E9" s="28" t="s">
        <v>32</v>
      </c>
      <c r="F9" s="28" t="s">
        <v>33</v>
      </c>
      <c r="G9" s="28" t="s">
        <v>34</v>
      </c>
      <c r="H9" s="28" t="s">
        <v>35</v>
      </c>
      <c r="I9" s="28" t="s">
        <v>36</v>
      </c>
      <c r="J9" s="28" t="s">
        <v>37</v>
      </c>
      <c r="K9" s="29" t="s">
        <v>38</v>
      </c>
      <c r="L9" s="4"/>
      <c r="M9" s="1"/>
      <c r="N9" s="1"/>
      <c r="O9" s="1"/>
    </row>
    <row r="10" spans="1:15" s="2" customFormat="1" ht="15">
      <c r="A10" s="15">
        <v>1832</v>
      </c>
      <c r="B10" s="16">
        <f aca="true" t="shared" si="0" ref="B10:B17">SUM(C10:K10)</f>
        <v>499.143</v>
      </c>
      <c r="C10" s="30">
        <v>66.824</v>
      </c>
      <c r="D10" s="30">
        <v>79.075</v>
      </c>
      <c r="E10" s="30">
        <v>145.25</v>
      </c>
      <c r="F10" s="30">
        <v>97.083</v>
      </c>
      <c r="G10" s="30">
        <v>55.799</v>
      </c>
      <c r="H10" s="30">
        <v>29.08</v>
      </c>
      <c r="I10" s="30">
        <v>17.278</v>
      </c>
      <c r="J10" s="30">
        <v>7.447</v>
      </c>
      <c r="K10" s="31">
        <v>1.307</v>
      </c>
      <c r="L10" s="4"/>
      <c r="M10" s="1"/>
      <c r="N10" s="1"/>
      <c r="O10" s="1"/>
    </row>
    <row r="11" spans="1:15" s="2" customFormat="1" ht="15">
      <c r="A11" s="56">
        <v>1872</v>
      </c>
      <c r="B11" s="16">
        <f t="shared" si="0"/>
        <v>925.709</v>
      </c>
      <c r="C11" s="30">
        <v>120.703</v>
      </c>
      <c r="D11" s="30">
        <v>132.425</v>
      </c>
      <c r="E11" s="30">
        <v>203.113</v>
      </c>
      <c r="F11" s="30">
        <v>181.376</v>
      </c>
      <c r="G11" s="30">
        <v>142.702</v>
      </c>
      <c r="H11" s="30">
        <v>86.388</v>
      </c>
      <c r="I11" s="30">
        <v>41.611</v>
      </c>
      <c r="J11" s="30">
        <v>15.217</v>
      </c>
      <c r="K11" s="31">
        <v>2.174</v>
      </c>
      <c r="L11" s="4"/>
      <c r="M11" s="1"/>
      <c r="N11" s="1"/>
      <c r="O11" s="1"/>
    </row>
    <row r="12" spans="1:15" s="2" customFormat="1" ht="15">
      <c r="A12" s="56">
        <v>1882</v>
      </c>
      <c r="B12" s="16">
        <f>B11*TableC2!$B9/TableC2!$B8</f>
        <v>1136.475338707932</v>
      </c>
      <c r="C12" s="30">
        <f>C11*TableC2!$B9/TableC2!$B8</f>
        <v>148.18477816253653</v>
      </c>
      <c r="D12" s="30">
        <f>D11*TableC2!$B9/TableC2!$B8</f>
        <v>162.57565469105074</v>
      </c>
      <c r="E12" s="30">
        <f>E11*TableC2!$B9/TableC2!$B8</f>
        <v>249.35796829347473</v>
      </c>
      <c r="F12" s="30">
        <f>F11*TableC2!$B9/TableC2!$B8</f>
        <v>222.67186668109514</v>
      </c>
      <c r="G12" s="30">
        <f>G11*TableC2!$B9/TableC2!$B8</f>
        <v>175.19253219348553</v>
      </c>
      <c r="H12" s="30">
        <f>H11*TableC2!$B9/TableC2!$B8</f>
        <v>106.05690509685098</v>
      </c>
      <c r="I12" s="30">
        <f>I11*TableC2!$B9/TableC2!$B8</f>
        <v>51.085033546153014</v>
      </c>
      <c r="J12" s="30">
        <f>J11*TableC2!$B9/TableC2!$B8</f>
        <v>18.681621577751326</v>
      </c>
      <c r="K12" s="31">
        <f>K11*TableC2!$B9/TableC2!$B8</f>
        <v>2.6689784655340327</v>
      </c>
      <c r="L12" s="4"/>
      <c r="M12" s="1"/>
      <c r="N12" s="1"/>
      <c r="O12" s="1"/>
    </row>
    <row r="13" spans="1:15" ht="15">
      <c r="A13" s="57">
        <v>1912</v>
      </c>
      <c r="B13" s="16">
        <f t="shared" si="0"/>
        <v>1333.5689999999997</v>
      </c>
      <c r="C13" s="16">
        <v>163.243</v>
      </c>
      <c r="D13" s="16">
        <v>190.743</v>
      </c>
      <c r="E13" s="16">
        <v>291.19</v>
      </c>
      <c r="F13" s="16">
        <v>277.428</v>
      </c>
      <c r="G13" s="16">
        <v>198.116</v>
      </c>
      <c r="H13" s="16">
        <v>125.976</v>
      </c>
      <c r="I13" s="16">
        <v>60.12</v>
      </c>
      <c r="J13" s="16">
        <v>22.485</v>
      </c>
      <c r="K13" s="17">
        <v>4.268</v>
      </c>
      <c r="L13" s="33"/>
      <c r="M13" s="19"/>
      <c r="N13" s="19"/>
      <c r="O13" s="19"/>
    </row>
    <row r="14" spans="1:15" ht="15">
      <c r="A14" s="57">
        <v>1922</v>
      </c>
      <c r="B14" s="16">
        <f t="shared" si="0"/>
        <v>1264.563</v>
      </c>
      <c r="C14" s="16">
        <v>130.863</v>
      </c>
      <c r="D14" s="16">
        <v>184.907</v>
      </c>
      <c r="E14" s="16">
        <v>235.998</v>
      </c>
      <c r="F14" s="16">
        <v>258.344</v>
      </c>
      <c r="G14" s="16">
        <v>217.784</v>
      </c>
      <c r="H14" s="16">
        <v>138.428</v>
      </c>
      <c r="I14" s="16">
        <v>71.154</v>
      </c>
      <c r="J14" s="16">
        <v>22.952</v>
      </c>
      <c r="K14" s="17">
        <v>4.133</v>
      </c>
      <c r="L14" s="33"/>
      <c r="M14" s="19"/>
      <c r="N14" s="19"/>
      <c r="O14" s="19"/>
    </row>
    <row r="15" spans="1:15" ht="15">
      <c r="A15" s="57">
        <v>1927</v>
      </c>
      <c r="B15" s="16">
        <f t="shared" si="0"/>
        <v>1268.6470000000002</v>
      </c>
      <c r="C15" s="16">
        <v>132.747</v>
      </c>
      <c r="D15" s="16">
        <v>168.468</v>
      </c>
      <c r="E15" s="16">
        <v>282.395</v>
      </c>
      <c r="F15" s="16">
        <v>239.935</v>
      </c>
      <c r="G15" s="16">
        <v>204.458</v>
      </c>
      <c r="H15" s="16">
        <v>140.963</v>
      </c>
      <c r="I15" s="16">
        <v>71.17</v>
      </c>
      <c r="J15" s="16">
        <v>23.849</v>
      </c>
      <c r="K15" s="17">
        <v>4.662</v>
      </c>
      <c r="L15" s="33"/>
      <c r="M15" s="19"/>
      <c r="N15" s="19"/>
      <c r="O15" s="19"/>
    </row>
    <row r="16" spans="1:15" ht="15">
      <c r="A16" s="57">
        <v>1932</v>
      </c>
      <c r="B16" s="16">
        <f t="shared" si="0"/>
        <v>1249.6360000000002</v>
      </c>
      <c r="C16" s="16">
        <v>145.076</v>
      </c>
      <c r="D16" s="16">
        <v>136.948</v>
      </c>
      <c r="E16" s="16">
        <v>274.544</v>
      </c>
      <c r="F16" s="16">
        <v>246.322</v>
      </c>
      <c r="G16" s="16">
        <v>195.522</v>
      </c>
      <c r="H16" s="16">
        <v>145.775</v>
      </c>
      <c r="I16" s="16">
        <v>74.642</v>
      </c>
      <c r="J16" s="16">
        <v>26.462</v>
      </c>
      <c r="K16" s="17">
        <v>4.345</v>
      </c>
      <c r="L16" s="33"/>
      <c r="M16" s="19"/>
      <c r="N16" s="19"/>
      <c r="O16" s="19"/>
    </row>
    <row r="17" spans="1:15" ht="15">
      <c r="A17" s="57">
        <v>1937</v>
      </c>
      <c r="B17" s="16">
        <f t="shared" si="0"/>
        <v>1249.14</v>
      </c>
      <c r="C17" s="16">
        <v>138.884</v>
      </c>
      <c r="D17" s="16">
        <v>137.99</v>
      </c>
      <c r="E17" s="16">
        <v>235.678</v>
      </c>
      <c r="F17" s="16">
        <v>276.285</v>
      </c>
      <c r="G17" s="16">
        <v>195.077</v>
      </c>
      <c r="H17" s="16">
        <v>148.236</v>
      </c>
      <c r="I17" s="16">
        <v>82.08</v>
      </c>
      <c r="J17" s="16">
        <v>29.778</v>
      </c>
      <c r="K17" s="17">
        <v>5.132</v>
      </c>
      <c r="L17" s="33"/>
      <c r="M17" s="19"/>
      <c r="N17" s="19"/>
      <c r="O17" s="19"/>
    </row>
    <row r="18" spans="1:15" ht="15">
      <c r="A18" s="18">
        <v>1952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33"/>
      <c r="M18" s="19"/>
      <c r="N18" s="19"/>
      <c r="O18" s="19"/>
    </row>
    <row r="19" spans="1:15" ht="15.75" thickBot="1">
      <c r="A19" s="20">
        <v>1992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33"/>
      <c r="M19" s="19"/>
      <c r="N19" s="19"/>
      <c r="O19" s="19"/>
    </row>
    <row r="20" spans="1:13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>
      <c r="A21" s="4" t="s">
        <v>117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2" ht="15"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3:12" ht="15"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3:12" ht="15"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3:12" ht="15"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3:12" ht="15"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3:11" ht="1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5">
      <c r="C90" s="19"/>
      <c r="D90" s="19"/>
      <c r="E90" s="19"/>
      <c r="F90" s="19"/>
      <c r="G90" s="19"/>
      <c r="H90" s="19"/>
      <c r="I90" s="19"/>
      <c r="J90" s="19"/>
      <c r="K90" s="19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384" width="10.25390625" style="3" customWidth="1"/>
  </cols>
  <sheetData>
    <row r="1" spans="1:12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.75" customHeight="1" thickTop="1">
      <c r="A5" s="173" t="s">
        <v>126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4"/>
    </row>
    <row r="6" spans="1:12" ht="15">
      <c r="A6" s="5"/>
      <c r="B6" s="6"/>
      <c r="C6" s="7"/>
      <c r="D6" s="7"/>
      <c r="E6" s="7"/>
      <c r="F6" s="7"/>
      <c r="G6" s="7"/>
      <c r="H6" s="7"/>
      <c r="I6" s="7"/>
      <c r="J6" s="7"/>
      <c r="K6" s="8"/>
      <c r="L6" s="4"/>
    </row>
    <row r="7" spans="1:12" ht="15">
      <c r="A7" s="17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10" t="s">
        <v>10</v>
      </c>
      <c r="L7" s="11"/>
    </row>
    <row r="8" spans="1:12" ht="30" customHeight="1">
      <c r="A8" s="180"/>
      <c r="B8" s="12" t="s">
        <v>11</v>
      </c>
      <c r="C8" s="12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4" t="s">
        <v>20</v>
      </c>
      <c r="L8" s="11"/>
    </row>
    <row r="9" spans="1:12" s="2" customFormat="1" ht="0.75" customHeight="1">
      <c r="A9" s="26"/>
      <c r="B9" s="27"/>
      <c r="C9" s="27" t="s">
        <v>39</v>
      </c>
      <c r="D9" s="28" t="s">
        <v>40</v>
      </c>
      <c r="E9" s="28" t="s">
        <v>41</v>
      </c>
      <c r="F9" s="28" t="s">
        <v>42</v>
      </c>
      <c r="G9" s="28" t="s">
        <v>43</v>
      </c>
      <c r="H9" s="28" t="s">
        <v>44</v>
      </c>
      <c r="I9" s="28" t="s">
        <v>45</v>
      </c>
      <c r="J9" s="28" t="s">
        <v>46</v>
      </c>
      <c r="K9" s="29" t="s">
        <v>47</v>
      </c>
      <c r="L9" s="4"/>
    </row>
    <row r="10" spans="1:12" s="2" customFormat="1" ht="15">
      <c r="A10" s="15">
        <v>1832</v>
      </c>
      <c r="B10" s="16">
        <f aca="true" t="shared" si="0" ref="B10:B17">SUM(C10:K10)</f>
        <v>439.08699999999993</v>
      </c>
      <c r="C10" s="30">
        <v>71.31</v>
      </c>
      <c r="D10" s="30">
        <v>65.437</v>
      </c>
      <c r="E10" s="30">
        <v>96.191</v>
      </c>
      <c r="F10" s="30">
        <v>86.173</v>
      </c>
      <c r="G10" s="30">
        <v>57.638</v>
      </c>
      <c r="H10" s="30">
        <v>31.397</v>
      </c>
      <c r="I10" s="30">
        <v>19.648</v>
      </c>
      <c r="J10" s="30">
        <v>9.34</v>
      </c>
      <c r="K10" s="31">
        <v>1.953</v>
      </c>
      <c r="L10" s="4"/>
    </row>
    <row r="11" spans="1:12" s="2" customFormat="1" ht="15">
      <c r="A11" s="56">
        <v>1872</v>
      </c>
      <c r="B11" s="16">
        <f t="shared" si="0"/>
        <v>922.4909999999999</v>
      </c>
      <c r="C11" s="30">
        <v>121.082</v>
      </c>
      <c r="D11" s="30">
        <v>128.145</v>
      </c>
      <c r="E11" s="30">
        <v>196.942</v>
      </c>
      <c r="F11" s="30">
        <v>176.546</v>
      </c>
      <c r="G11" s="30">
        <v>135.609</v>
      </c>
      <c r="H11" s="30">
        <v>87.776</v>
      </c>
      <c r="I11" s="30">
        <v>49.547</v>
      </c>
      <c r="J11" s="30">
        <v>22.482</v>
      </c>
      <c r="K11" s="31">
        <v>4.362</v>
      </c>
      <c r="L11" s="4"/>
    </row>
    <row r="12" spans="1:12" s="2" customFormat="1" ht="15">
      <c r="A12" s="56">
        <v>1882</v>
      </c>
      <c r="B12" s="16">
        <f>B11*TableC2!$B9/TableC2!$B8</f>
        <v>1132.5246612920678</v>
      </c>
      <c r="C12" s="30">
        <f>C11*TableC2!$B9/TableC2!$B8</f>
        <v>148.65006925657394</v>
      </c>
      <c r="D12" s="30">
        <f>D11*TableC2!$B9/TableC2!$B8</f>
        <v>157.3211800670923</v>
      </c>
      <c r="E12" s="30">
        <f>E11*TableC2!$B9/TableC2!$B8</f>
        <v>241.78194892327673</v>
      </c>
      <c r="F12" s="30">
        <f>F11*TableC2!$B9/TableC2!$B8</f>
        <v>216.74216751433826</v>
      </c>
      <c r="G12" s="30">
        <f>G11*TableC2!$B9/TableC2!$B8</f>
        <v>166.48459095336003</v>
      </c>
      <c r="H12" s="30">
        <f>H11*TableC2!$B9/TableC2!$B8</f>
        <v>107.76092630667675</v>
      </c>
      <c r="I12" s="30">
        <f>I11*TableC2!$B9/TableC2!$B8</f>
        <v>60.827909858240446</v>
      </c>
      <c r="J12" s="30">
        <f>J11*TableC2!$B9/TableC2!$B8</f>
        <v>27.60072394762471</v>
      </c>
      <c r="K12" s="31">
        <f>K11*TableC2!$B9/TableC2!$B8</f>
        <v>5.355144464884753</v>
      </c>
      <c r="L12" s="4"/>
    </row>
    <row r="13" spans="1:12" ht="15">
      <c r="A13" s="57">
        <v>1912</v>
      </c>
      <c r="B13" s="16">
        <f t="shared" si="0"/>
        <v>1504.3790000000001</v>
      </c>
      <c r="C13" s="16">
        <v>164.158</v>
      </c>
      <c r="D13" s="16">
        <v>202.398</v>
      </c>
      <c r="E13" s="16">
        <v>340.312</v>
      </c>
      <c r="F13" s="16">
        <v>293.585</v>
      </c>
      <c r="G13" s="16">
        <v>218.654</v>
      </c>
      <c r="H13" s="16">
        <v>147.525</v>
      </c>
      <c r="I13" s="16">
        <v>87.726</v>
      </c>
      <c r="J13" s="16">
        <v>40.386</v>
      </c>
      <c r="K13" s="17">
        <v>9.635</v>
      </c>
      <c r="L13" s="33"/>
    </row>
    <row r="14" spans="1:12" ht="15">
      <c r="A14" s="57">
        <v>1922</v>
      </c>
      <c r="B14" s="16">
        <f t="shared" si="0"/>
        <v>1576.435</v>
      </c>
      <c r="C14" s="16">
        <v>132.073</v>
      </c>
      <c r="D14" s="16">
        <v>205.019</v>
      </c>
      <c r="E14" s="16">
        <v>332.823</v>
      </c>
      <c r="F14" s="16">
        <v>322.045</v>
      </c>
      <c r="G14" s="16">
        <v>248.19</v>
      </c>
      <c r="H14" s="16">
        <v>171.248</v>
      </c>
      <c r="I14" s="16">
        <v>105.081</v>
      </c>
      <c r="J14" s="16">
        <v>48.475</v>
      </c>
      <c r="K14" s="17">
        <v>11.481</v>
      </c>
      <c r="L14" s="33"/>
    </row>
    <row r="15" spans="1:12" ht="15">
      <c r="A15" s="57">
        <v>1927</v>
      </c>
      <c r="B15" s="16">
        <f t="shared" si="0"/>
        <v>1531.9630000000002</v>
      </c>
      <c r="C15" s="16">
        <v>132.399</v>
      </c>
      <c r="D15" s="16">
        <v>183.986</v>
      </c>
      <c r="E15" s="16">
        <v>323.807</v>
      </c>
      <c r="F15" s="16">
        <v>306.29</v>
      </c>
      <c r="G15" s="16">
        <v>247.784</v>
      </c>
      <c r="H15" s="16">
        <v>168.851</v>
      </c>
      <c r="I15" s="16">
        <v>107.498</v>
      </c>
      <c r="J15" s="16">
        <v>49.339</v>
      </c>
      <c r="K15" s="17">
        <v>12.009</v>
      </c>
      <c r="L15" s="33"/>
    </row>
    <row r="16" spans="1:12" ht="15">
      <c r="A16" s="57">
        <v>1932</v>
      </c>
      <c r="B16" s="16">
        <f t="shared" si="0"/>
        <v>1531.922</v>
      </c>
      <c r="C16" s="16">
        <v>144.883</v>
      </c>
      <c r="D16" s="16">
        <v>151.396</v>
      </c>
      <c r="E16" s="16">
        <v>308.762</v>
      </c>
      <c r="F16" s="16">
        <v>303.433</v>
      </c>
      <c r="G16" s="16">
        <v>256.433</v>
      </c>
      <c r="H16" s="16">
        <v>182.97</v>
      </c>
      <c r="I16" s="16">
        <v>115.057</v>
      </c>
      <c r="J16" s="16">
        <v>55.579</v>
      </c>
      <c r="K16" s="17">
        <v>13.409</v>
      </c>
      <c r="L16" s="33"/>
    </row>
    <row r="17" spans="1:12" ht="15">
      <c r="A17" s="57">
        <v>1937</v>
      </c>
      <c r="B17" s="16">
        <f t="shared" si="0"/>
        <v>1518.489</v>
      </c>
      <c r="C17" s="16">
        <v>138.125</v>
      </c>
      <c r="D17" s="16">
        <v>148.983</v>
      </c>
      <c r="E17" s="16">
        <v>273.275</v>
      </c>
      <c r="F17" s="16">
        <v>303.65</v>
      </c>
      <c r="G17" s="16">
        <v>259.03</v>
      </c>
      <c r="H17" s="16">
        <v>194.399</v>
      </c>
      <c r="I17" s="16">
        <v>122.109</v>
      </c>
      <c r="J17" s="16">
        <v>63.266</v>
      </c>
      <c r="K17" s="17">
        <v>15.652</v>
      </c>
      <c r="L17" s="33"/>
    </row>
    <row r="18" spans="1:12" ht="15">
      <c r="A18" s="18">
        <v>1952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33"/>
    </row>
    <row r="19" spans="1:12" ht="15.75" thickBot="1">
      <c r="A19" s="20">
        <v>1992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33"/>
    </row>
    <row r="20" spans="1:12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>
      <c r="A21" s="4" t="s">
        <v>117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ht="1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1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2:12" ht="1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3:11" ht="15">
      <c r="C71" s="19"/>
      <c r="D71" s="19"/>
      <c r="E71" s="19"/>
      <c r="F71" s="19"/>
      <c r="G71" s="19"/>
      <c r="H71" s="19"/>
      <c r="I71" s="19"/>
      <c r="J71" s="19"/>
      <c r="K71" s="19"/>
    </row>
    <row r="72" spans="3:11" ht="15">
      <c r="C72" s="19"/>
      <c r="D72" s="19"/>
      <c r="E72" s="19"/>
      <c r="F72" s="19"/>
      <c r="G72" s="19"/>
      <c r="H72" s="19"/>
      <c r="I72" s="19"/>
      <c r="J72" s="19"/>
      <c r="K72" s="19"/>
    </row>
    <row r="73" spans="3:11" ht="15">
      <c r="C73" s="19"/>
      <c r="D73" s="19"/>
      <c r="E73" s="19"/>
      <c r="F73" s="19"/>
      <c r="G73" s="19"/>
      <c r="H73" s="19"/>
      <c r="I73" s="19"/>
      <c r="J73" s="19"/>
      <c r="K73" s="19"/>
    </row>
    <row r="74" spans="3:11" ht="15">
      <c r="C74" s="19"/>
      <c r="D74" s="19"/>
      <c r="E74" s="19"/>
      <c r="F74" s="19"/>
      <c r="G74" s="19"/>
      <c r="H74" s="19"/>
      <c r="I74" s="19"/>
      <c r="J74" s="19"/>
      <c r="K74" s="19"/>
    </row>
    <row r="75" spans="3:11" ht="15">
      <c r="C75" s="19"/>
      <c r="D75" s="19"/>
      <c r="E75" s="19"/>
      <c r="F75" s="19"/>
      <c r="G75" s="19"/>
      <c r="H75" s="19"/>
      <c r="I75" s="19"/>
      <c r="J75" s="19"/>
      <c r="K75" s="19"/>
    </row>
    <row r="76" spans="3:11" ht="1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5">
      <c r="C90" s="19"/>
      <c r="D90" s="19"/>
      <c r="E90" s="19"/>
      <c r="F90" s="19"/>
      <c r="G90" s="19"/>
      <c r="H90" s="19"/>
      <c r="I90" s="19"/>
      <c r="J90" s="19"/>
      <c r="K90" s="19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N96"/>
  <sheetViews>
    <sheetView workbookViewId="0" topLeftCell="A1">
      <selection activeCell="A2" sqref="A2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" width="10.25390625" style="3" customWidth="1"/>
    <col min="17" max="17" width="11.125" style="3" bestFit="1" customWidth="1"/>
    <col min="18" max="21" width="11.125" style="3" customWidth="1"/>
    <col min="22" max="16384" width="10.25390625" style="3" customWidth="1"/>
  </cols>
  <sheetData>
    <row r="2" spans="1:40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4.75" customHeight="1" thickTop="1">
      <c r="A5" s="173" t="s">
        <v>127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127"/>
      <c r="M5" s="127"/>
      <c r="N5" s="127"/>
      <c r="O5" s="127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>
      <c r="A6" s="5"/>
      <c r="B6" s="6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4"/>
      <c r="Q6" s="1" t="s">
        <v>21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17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10" t="s">
        <v>10</v>
      </c>
      <c r="L7" s="27"/>
      <c r="M7" s="27"/>
      <c r="N7" s="27"/>
      <c r="O7" s="27"/>
      <c r="P7" s="11"/>
      <c r="Q7" s="4" t="s">
        <v>22</v>
      </c>
      <c r="R7" s="1"/>
      <c r="S7" s="4"/>
      <c r="T7" s="4"/>
      <c r="U7" s="4"/>
      <c r="V7" s="4" t="s">
        <v>23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30" customHeight="1">
      <c r="A8" s="180"/>
      <c r="B8" s="12" t="s">
        <v>11</v>
      </c>
      <c r="C8" s="12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4" t="s">
        <v>20</v>
      </c>
      <c r="L8" s="24"/>
      <c r="M8" s="24"/>
      <c r="N8" s="24"/>
      <c r="O8" s="24"/>
      <c r="P8" s="4"/>
      <c r="Q8" s="4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27</v>
      </c>
      <c r="W8" s="4" t="s">
        <v>28</v>
      </c>
      <c r="X8" s="4" t="s">
        <v>29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0.75" customHeight="1">
      <c r="A9" s="26"/>
      <c r="B9" s="27"/>
      <c r="C9" s="27" t="s">
        <v>30</v>
      </c>
      <c r="D9" s="28" t="s">
        <v>31</v>
      </c>
      <c r="E9" s="28" t="s">
        <v>32</v>
      </c>
      <c r="F9" s="28" t="s">
        <v>33</v>
      </c>
      <c r="G9" s="28" t="s">
        <v>34</v>
      </c>
      <c r="H9" s="28" t="s">
        <v>35</v>
      </c>
      <c r="I9" s="28" t="s">
        <v>36</v>
      </c>
      <c r="J9" s="28" t="s">
        <v>37</v>
      </c>
      <c r="K9" s="29" t="s">
        <v>38</v>
      </c>
      <c r="L9" s="28"/>
      <c r="M9" s="28"/>
      <c r="N9" s="28"/>
      <c r="O9" s="28"/>
      <c r="P9" s="4"/>
      <c r="Q9" s="4"/>
      <c r="R9" s="4"/>
      <c r="S9" s="4"/>
      <c r="T9" s="4"/>
      <c r="U9" s="4"/>
      <c r="V9" s="4"/>
      <c r="W9" s="4"/>
      <c r="X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5">
      <c r="A10" s="15">
        <v>1832</v>
      </c>
      <c r="B10" s="16">
        <f>SUM(C10:K10)</f>
        <v>16005.147</v>
      </c>
      <c r="C10" s="30">
        <f>'[6]TableC1(Lm)'!C$22</f>
        <v>3537.943</v>
      </c>
      <c r="D10" s="30">
        <f>'[6]TableC1(Lm)'!D$22</f>
        <v>2917.38</v>
      </c>
      <c r="E10" s="30">
        <f>'[6]TableC1(Lm)'!E$22</f>
        <v>2618.975</v>
      </c>
      <c r="F10" s="30">
        <f>'[6]TableC1(Lm)'!F$22</f>
        <v>2265.263</v>
      </c>
      <c r="G10" s="30">
        <f>'[6]TableC1(Lm)'!G$22</f>
        <v>1828.032</v>
      </c>
      <c r="H10" s="30">
        <f>'[6]TableC1(Lm)'!H$22</f>
        <v>1378.906</v>
      </c>
      <c r="I10" s="30">
        <f>'[6]TableC1(Lm)'!I$22</f>
        <v>912.678</v>
      </c>
      <c r="J10" s="30">
        <f>'[6]TableC1(Lm)'!J$22</f>
        <v>448.183</v>
      </c>
      <c r="K10" s="31">
        <f>'[6]TableC1(Lm)'!K$22</f>
        <v>97.787</v>
      </c>
      <c r="L10" s="30"/>
      <c r="M10" s="30"/>
      <c r="N10" s="30"/>
      <c r="O10" s="30"/>
      <c r="P10" s="4"/>
      <c r="Q10" s="4"/>
      <c r="R10" s="4"/>
      <c r="S10" s="4"/>
      <c r="T10" s="4"/>
      <c r="U10" s="4"/>
      <c r="V10" s="4"/>
      <c r="W10" s="4"/>
      <c r="X10" s="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5">
      <c r="A11" s="56">
        <v>1872</v>
      </c>
      <c r="B11" s="16">
        <f>SUM(C11:K11)</f>
        <v>17960.904000000002</v>
      </c>
      <c r="C11" s="30">
        <f>'[6]TableC1(Lm)'!C$62</f>
        <v>3538.337</v>
      </c>
      <c r="D11" s="30">
        <f>'[6]TableC1(Lm)'!D$62</f>
        <v>3107.958</v>
      </c>
      <c r="E11" s="30">
        <f>'[6]TableC1(Lm)'!E$62</f>
        <v>2815.417</v>
      </c>
      <c r="F11" s="30">
        <f>'[6]TableC1(Lm)'!F$62</f>
        <v>2559.32</v>
      </c>
      <c r="G11" s="30">
        <f>'[6]TableC1(Lm)'!G$62</f>
        <v>2275.992</v>
      </c>
      <c r="H11" s="30">
        <f>'[6]TableC1(Lm)'!H$62</f>
        <v>1733.192</v>
      </c>
      <c r="I11" s="30">
        <f>'[6]TableC1(Lm)'!I$62</f>
        <v>1230.408</v>
      </c>
      <c r="J11" s="30">
        <f>'[6]TableC1(Lm)'!J$62</f>
        <v>586.434</v>
      </c>
      <c r="K11" s="31">
        <f>'[6]TableC1(Lm)'!K$62</f>
        <v>113.846</v>
      </c>
      <c r="L11" s="30"/>
      <c r="M11" s="30"/>
      <c r="N11" s="30"/>
      <c r="O11" s="30"/>
      <c r="P11" s="4"/>
      <c r="Q11" s="4"/>
      <c r="R11" s="4"/>
      <c r="S11" s="4"/>
      <c r="T11" s="4"/>
      <c r="U11" s="4"/>
      <c r="V11" s="4"/>
      <c r="W11" s="4"/>
      <c r="X11" s="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5">
      <c r="A12" s="56">
        <v>1882</v>
      </c>
      <c r="B12" s="16">
        <f>SUM(C12:K12)</f>
        <v>18501.145999999997</v>
      </c>
      <c r="C12" s="30">
        <f>'[6]TableC1(Lm)'!C$72</f>
        <v>3504.164</v>
      </c>
      <c r="D12" s="30">
        <f>'[6]TableC1(Lm)'!D$72</f>
        <v>3261.263</v>
      </c>
      <c r="E12" s="30">
        <f>'[6]TableC1(Lm)'!E$72</f>
        <v>2889.806</v>
      </c>
      <c r="F12" s="30">
        <f>'[6]TableC1(Lm)'!F$72</f>
        <v>2582.765</v>
      </c>
      <c r="G12" s="30">
        <f>'[6]TableC1(Lm)'!G$72</f>
        <v>2292.549</v>
      </c>
      <c r="H12" s="30">
        <f>'[6]TableC1(Lm)'!H$72</f>
        <v>1921.354</v>
      </c>
      <c r="I12" s="30">
        <f>'[6]TableC1(Lm)'!I$72</f>
        <v>1293.62</v>
      </c>
      <c r="J12" s="30">
        <f>'[6]TableC1(Lm)'!J$72</f>
        <v>629.282</v>
      </c>
      <c r="K12" s="31">
        <f>'[6]TableC1(Lm)'!K$72</f>
        <v>126.343</v>
      </c>
      <c r="L12" s="126"/>
      <c r="M12" s="126"/>
      <c r="N12" s="126"/>
      <c r="O12" s="126"/>
      <c r="P12" s="4"/>
      <c r="Q12" s="4"/>
      <c r="R12" s="4"/>
      <c r="S12" s="4"/>
      <c r="T12" s="4"/>
      <c r="U12" s="4"/>
      <c r="V12" s="4"/>
      <c r="W12" s="4"/>
      <c r="X12" s="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57">
        <v>1912</v>
      </c>
      <c r="B13" s="16">
        <f aca="true" t="shared" si="0" ref="B13:B18">SUM(C13:K13)</f>
        <v>19270.759</v>
      </c>
      <c r="C13" s="16">
        <f>'[6]TableC1(Lm)'!C$102</f>
        <v>3316.61</v>
      </c>
      <c r="D13" s="16">
        <f>'[6]TableC1(Lm)'!D$102</f>
        <v>3276.227</v>
      </c>
      <c r="E13" s="16">
        <f>'[6]TableC1(Lm)'!E$102</f>
        <v>3046.331</v>
      </c>
      <c r="F13" s="16">
        <f>'[6]TableC1(Lm)'!F$102</f>
        <v>2929.419</v>
      </c>
      <c r="G13" s="16">
        <f>'[6]TableC1(Lm)'!G$102</f>
        <v>2440.23</v>
      </c>
      <c r="H13" s="16">
        <f>'[6]TableC1(Lm)'!H$102</f>
        <v>1981.835</v>
      </c>
      <c r="I13" s="16">
        <f>'[6]TableC1(Lm)'!I$102</f>
        <v>1412.807</v>
      </c>
      <c r="J13" s="16">
        <f>'[6]TableC1(Lm)'!J$102</f>
        <v>710.112</v>
      </c>
      <c r="K13" s="17">
        <f>'[6]TableC1(Lm)'!K$102</f>
        <v>157.188</v>
      </c>
      <c r="L13" s="16"/>
      <c r="M13" s="16"/>
      <c r="N13" s="16"/>
      <c r="O13" s="16"/>
      <c r="P13" s="33"/>
      <c r="Q13" s="19"/>
      <c r="R13" s="19"/>
      <c r="S13" s="19"/>
      <c r="T13" s="19"/>
      <c r="U13" s="19"/>
      <c r="V13" s="32">
        <v>697139</v>
      </c>
      <c r="W13" s="32">
        <v>546776</v>
      </c>
      <c r="X13" s="34" t="e">
        <f>V13/(1000*#REF!)</f>
        <v>#REF!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5">
      <c r="A14" s="57">
        <v>1922</v>
      </c>
      <c r="B14" s="16">
        <f t="shared" si="0"/>
        <v>18547.87</v>
      </c>
      <c r="C14" s="16">
        <f>'[6]TableC1(Lm)'!C$112</f>
        <v>2712.514</v>
      </c>
      <c r="D14" s="16">
        <f>'[6]TableC1(Lm)'!D$112</f>
        <v>3405.375</v>
      </c>
      <c r="E14" s="16">
        <f>'[6]TableC1(Lm)'!E$112</f>
        <v>2741.984</v>
      </c>
      <c r="F14" s="16">
        <f>'[6]TableC1(Lm)'!F$112</f>
        <v>2510.332</v>
      </c>
      <c r="G14" s="16">
        <f>'[6]TableC1(Lm)'!G$112</f>
        <v>2611.645</v>
      </c>
      <c r="H14" s="16">
        <f>'[6]TableC1(Lm)'!H$112</f>
        <v>2141.055</v>
      </c>
      <c r="I14" s="16">
        <f>'[6]TableC1(Lm)'!I$112</f>
        <v>1514.182</v>
      </c>
      <c r="J14" s="16">
        <f>'[6]TableC1(Lm)'!J$112</f>
        <v>746.586</v>
      </c>
      <c r="K14" s="17">
        <f>'[6]TableC1(Lm)'!K$112</f>
        <v>164.197</v>
      </c>
      <c r="L14" s="16"/>
      <c r="M14" s="16"/>
      <c r="N14" s="16"/>
      <c r="O14" s="16"/>
      <c r="P14" s="33"/>
      <c r="Q14" s="19"/>
      <c r="R14" s="19"/>
      <c r="S14" s="19"/>
      <c r="T14" s="19"/>
      <c r="U14" s="19"/>
      <c r="V14" s="32">
        <v>692322</v>
      </c>
      <c r="W14" s="32">
        <v>574480</v>
      </c>
      <c r="X14" s="34" t="e">
        <f>V14/(1000*#REF!)</f>
        <v>#REF!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5">
      <c r="A15" s="57">
        <v>1927</v>
      </c>
      <c r="B15" s="16">
        <f t="shared" si="0"/>
        <v>19417.823</v>
      </c>
      <c r="C15" s="16">
        <f>'[6]TableC1(Lm)'!C$117</f>
        <v>3111.833</v>
      </c>
      <c r="D15" s="16">
        <f>'[6]TableC1(Lm)'!D$117</f>
        <v>3098.026</v>
      </c>
      <c r="E15" s="16">
        <f>'[6]TableC1(Lm)'!E$117</f>
        <v>3379.346</v>
      </c>
      <c r="F15" s="16">
        <f>'[6]TableC1(Lm)'!F$117</f>
        <v>2588.745</v>
      </c>
      <c r="G15" s="16">
        <f>'[6]TableC1(Lm)'!G$117</f>
        <v>2483.436</v>
      </c>
      <c r="H15" s="16">
        <f>'[6]TableC1(Lm)'!H$117</f>
        <v>2235.999</v>
      </c>
      <c r="I15" s="16">
        <f>'[6]TableC1(Lm)'!I$117</f>
        <v>1591.192</v>
      </c>
      <c r="J15" s="16">
        <f>'[6]TableC1(Lm)'!J$117</f>
        <v>759.147</v>
      </c>
      <c r="K15" s="17">
        <f>'[6]TableC1(Lm)'!K$117</f>
        <v>170.099</v>
      </c>
      <c r="L15" s="16"/>
      <c r="M15" s="16"/>
      <c r="N15" s="16"/>
      <c r="O15" s="16"/>
      <c r="P15" s="33"/>
      <c r="Q15" s="19"/>
      <c r="R15" s="19"/>
      <c r="S15" s="19"/>
      <c r="T15" s="19"/>
      <c r="U15" s="19"/>
      <c r="V15" s="32">
        <v>679809</v>
      </c>
      <c r="W15" s="32">
        <v>562847</v>
      </c>
      <c r="X15" s="34" t="e">
        <f>V15/(1000*#REF!)</f>
        <v>#REF!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5">
      <c r="A16" s="57">
        <v>1932</v>
      </c>
      <c r="B16" s="16">
        <f t="shared" si="0"/>
        <v>19913.092000000004</v>
      </c>
      <c r="C16" s="16">
        <f>'[6]TableC1(Lm)'!C$122</f>
        <v>3494.896</v>
      </c>
      <c r="D16" s="16">
        <f>'[6]TableC1(Lm)'!D$122</f>
        <v>2765.179</v>
      </c>
      <c r="E16" s="16">
        <f>'[6]TableC1(Lm)'!E$122</f>
        <v>3447.883</v>
      </c>
      <c r="F16" s="16">
        <f>'[6]TableC1(Lm)'!F$122</f>
        <v>2968.018</v>
      </c>
      <c r="G16" s="16">
        <f>'[6]TableC1(Lm)'!G$122</f>
        <v>2395.288</v>
      </c>
      <c r="H16" s="16">
        <f>'[6]TableC1(Lm)'!H$122</f>
        <v>2261.603</v>
      </c>
      <c r="I16" s="16">
        <f>'[6]TableC1(Lm)'!I$122</f>
        <v>1602.128</v>
      </c>
      <c r="J16" s="16">
        <f>'[6]TableC1(Lm)'!J$122</f>
        <v>802.15</v>
      </c>
      <c r="K16" s="17">
        <f>'[6]TableC1(Lm)'!K$122</f>
        <v>175.947</v>
      </c>
      <c r="L16" s="16"/>
      <c r="M16" s="16"/>
      <c r="N16" s="16"/>
      <c r="O16" s="16"/>
      <c r="P16" s="33"/>
      <c r="Q16" s="19"/>
      <c r="R16" s="19"/>
      <c r="S16" s="19"/>
      <c r="T16" s="19"/>
      <c r="U16" s="19"/>
      <c r="V16" s="32">
        <v>663705</v>
      </c>
      <c r="W16" s="32">
        <v>562864</v>
      </c>
      <c r="X16" s="34" t="e">
        <f>V16/(1000*#REF!)</f>
        <v>#REF!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5">
      <c r="A17" s="57">
        <v>1937</v>
      </c>
      <c r="B17" s="16">
        <f t="shared" si="0"/>
        <v>19813.143</v>
      </c>
      <c r="C17" s="16">
        <f>'[6]TableC1(Lm)'!C$127</f>
        <v>3239.885</v>
      </c>
      <c r="D17" s="16">
        <f>'[6]TableC1(Lm)'!D$127</f>
        <v>3083.389</v>
      </c>
      <c r="E17" s="16">
        <f>'[6]TableC1(Lm)'!E$127</f>
        <v>2986.643</v>
      </c>
      <c r="F17" s="16">
        <f>'[6]TableC1(Lm)'!F$127</f>
        <v>3311.199</v>
      </c>
      <c r="G17" s="16">
        <f>'[6]TableC1(Lm)'!G$127</f>
        <v>2358.376</v>
      </c>
      <c r="H17" s="16">
        <f>'[6]TableC1(Lm)'!H$127</f>
        <v>2119.57</v>
      </c>
      <c r="I17" s="16">
        <f>'[6]TableC1(Lm)'!I$127</f>
        <v>1675.927</v>
      </c>
      <c r="J17" s="16">
        <f>'[6]TableC1(Lm)'!J$127</f>
        <v>851.429</v>
      </c>
      <c r="K17" s="17">
        <f>'[6]TableC1(Lm)'!K$127</f>
        <v>186.725</v>
      </c>
      <c r="L17" s="16"/>
      <c r="M17" s="16"/>
      <c r="N17" s="16"/>
      <c r="O17" s="16"/>
      <c r="P17" s="33"/>
      <c r="Q17" s="19"/>
      <c r="R17" s="19"/>
      <c r="S17" s="19"/>
      <c r="T17" s="19"/>
      <c r="U17" s="19"/>
      <c r="V17" s="32">
        <v>632896</v>
      </c>
      <c r="W17" s="32">
        <v>556956</v>
      </c>
      <c r="X17" s="34" t="e">
        <f>V17/(1000*#REF!)</f>
        <v>#REF!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5">
      <c r="A18" s="18">
        <v>1952</v>
      </c>
      <c r="B18" s="16">
        <f t="shared" si="0"/>
        <v>20368.236</v>
      </c>
      <c r="C18" s="16">
        <f>'[6]TableC1(Lm)'!C$142</f>
        <v>3634.326</v>
      </c>
      <c r="D18" s="16">
        <f>'[6]TableC1(Lm)'!D$142</f>
        <v>2890.567</v>
      </c>
      <c r="E18" s="16">
        <f>'[6]TableC1(Lm)'!E$142</f>
        <v>3273.189</v>
      </c>
      <c r="F18" s="16">
        <f>'[6]TableC1(Lm)'!F$142</f>
        <v>2495.461</v>
      </c>
      <c r="G18" s="16">
        <f>'[6]TableC1(Lm)'!G$142</f>
        <v>3023.295</v>
      </c>
      <c r="H18" s="16">
        <f>'[6]TableC1(Lm)'!H$142</f>
        <v>2315.344</v>
      </c>
      <c r="I18" s="16">
        <f>'[6]TableC1(Lm)'!I$142</f>
        <v>1559.646</v>
      </c>
      <c r="J18" s="16">
        <f>'[6]TableC1(Lm)'!J$142</f>
        <v>948.307</v>
      </c>
      <c r="K18" s="17">
        <f>'[6]TableC1(Lm)'!K$142</f>
        <v>228.101</v>
      </c>
      <c r="L18" s="16"/>
      <c r="M18" s="16"/>
      <c r="N18" s="16"/>
      <c r="O18" s="16"/>
      <c r="P18" s="33"/>
      <c r="Q18" s="19"/>
      <c r="R18" s="19"/>
      <c r="S18" s="19"/>
      <c r="T18" s="19"/>
      <c r="U18" s="19"/>
      <c r="V18" s="32">
        <v>524831</v>
      </c>
      <c r="W18" s="32">
        <v>474302</v>
      </c>
      <c r="X18" s="34" t="e">
        <f>V18/(1000*#REF!)</f>
        <v>#REF!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5.75" thickBot="1">
      <c r="A19" s="20">
        <v>1992</v>
      </c>
      <c r="B19" s="21">
        <f>SUM(C19:K19)</f>
        <v>27795.121000000006</v>
      </c>
      <c r="C19" s="21">
        <f>'[6]TableC1(Lm)'!C$182</f>
        <v>3875.779</v>
      </c>
      <c r="D19" s="21">
        <f>'[6]TableC1(Lm)'!D$182</f>
        <v>4039.429</v>
      </c>
      <c r="E19" s="21">
        <f>'[6]TableC1(Lm)'!E$182</f>
        <v>4310.161</v>
      </c>
      <c r="F19" s="21">
        <f>'[6]TableC1(Lm)'!F$182</f>
        <v>4275.626</v>
      </c>
      <c r="G19" s="21">
        <f>'[6]TableC1(Lm)'!G$182</f>
        <v>3848.593</v>
      </c>
      <c r="H19" s="21">
        <f>'[6]TableC1(Lm)'!H$182</f>
        <v>2823.83</v>
      </c>
      <c r="I19" s="21">
        <f>'[6]TableC1(Lm)'!I$182</f>
        <v>2581.741</v>
      </c>
      <c r="J19" s="21">
        <f>'[6]TableC1(Lm)'!J$182</f>
        <v>1359.349</v>
      </c>
      <c r="K19" s="22">
        <f>'[6]TableC1(Lm)'!K$182</f>
        <v>680.613</v>
      </c>
      <c r="L19" s="16"/>
      <c r="M19" s="16"/>
      <c r="N19" s="16"/>
      <c r="O19" s="16"/>
      <c r="P19" s="33"/>
      <c r="Q19" s="19"/>
      <c r="R19" s="19"/>
      <c r="S19" s="19"/>
      <c r="T19" s="19"/>
      <c r="U19" s="19"/>
      <c r="V19" s="32">
        <v>521530</v>
      </c>
      <c r="W19" s="32">
        <v>511671</v>
      </c>
      <c r="X19" s="34" t="e">
        <f>V19/(1000*#REF!)</f>
        <v>#REF!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38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">
      <c r="A21" s="4" t="s">
        <v>118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3:16" ht="1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ht="1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ht="1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ht="1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ht="1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5" ht="1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96"/>
  <sheetViews>
    <sheetView workbookViewId="0" topLeftCell="A1">
      <selection activeCell="A2" sqref="A2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" width="10.25390625" style="3" customWidth="1"/>
    <col min="17" max="17" width="11.125" style="3" bestFit="1" customWidth="1"/>
    <col min="18" max="21" width="11.125" style="3" customWidth="1"/>
    <col min="22" max="16384" width="10.25390625" style="3" customWidth="1"/>
  </cols>
  <sheetData>
    <row r="1" spans="1:40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4.75" customHeight="1" thickTop="1">
      <c r="A5" s="173" t="s">
        <v>128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127"/>
      <c r="M5" s="127"/>
      <c r="N5" s="127"/>
      <c r="O5" s="127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>
      <c r="A6" s="5"/>
      <c r="B6" s="6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4"/>
      <c r="Q6" s="1" t="s">
        <v>21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17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10" t="s">
        <v>10</v>
      </c>
      <c r="L7" s="27"/>
      <c r="M7" s="27"/>
      <c r="N7" s="27"/>
      <c r="O7" s="27"/>
      <c r="P7" s="11"/>
      <c r="Q7" s="4" t="s">
        <v>22</v>
      </c>
      <c r="R7" s="1"/>
      <c r="S7" s="4"/>
      <c r="T7" s="4"/>
      <c r="U7" s="4"/>
      <c r="V7" s="4" t="s">
        <v>23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30" customHeight="1">
      <c r="A8" s="180"/>
      <c r="B8" s="12" t="s">
        <v>11</v>
      </c>
      <c r="C8" s="12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4" t="s">
        <v>20</v>
      </c>
      <c r="L8" s="24"/>
      <c r="M8" s="24"/>
      <c r="N8" s="24"/>
      <c r="O8" s="24"/>
      <c r="P8" s="11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0.75" customHeight="1">
      <c r="A9" s="26"/>
      <c r="B9" s="27"/>
      <c r="C9" s="27" t="s">
        <v>39</v>
      </c>
      <c r="D9" s="28" t="s">
        <v>40</v>
      </c>
      <c r="E9" s="28" t="s">
        <v>41</v>
      </c>
      <c r="F9" s="28" t="s">
        <v>42</v>
      </c>
      <c r="G9" s="28" t="s">
        <v>43</v>
      </c>
      <c r="H9" s="28" t="s">
        <v>44</v>
      </c>
      <c r="I9" s="28" t="s">
        <v>45</v>
      </c>
      <c r="J9" s="28" t="s">
        <v>46</v>
      </c>
      <c r="K9" s="29" t="s">
        <v>47</v>
      </c>
      <c r="L9" s="28"/>
      <c r="M9" s="28"/>
      <c r="N9" s="28"/>
      <c r="O9" s="28"/>
      <c r="P9" s="4"/>
      <c r="Q9" s="4"/>
      <c r="R9" s="4"/>
      <c r="S9" s="4"/>
      <c r="T9" s="4"/>
      <c r="U9" s="4"/>
      <c r="V9" s="4"/>
      <c r="W9" s="4"/>
      <c r="X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5">
      <c r="A10" s="15">
        <v>1832</v>
      </c>
      <c r="B10" s="16">
        <f>SUM(C10:K10)</f>
        <v>16690.427000000003</v>
      </c>
      <c r="C10" s="30">
        <f>'[6]TableC3(f)'!C$22</f>
        <v>3497.685</v>
      </c>
      <c r="D10" s="30">
        <f>'[6]TableC3(f)'!D$22</f>
        <v>2972.692</v>
      </c>
      <c r="E10" s="30">
        <f>'[6]TableC3(f)'!E$22</f>
        <v>2723.622</v>
      </c>
      <c r="F10" s="30">
        <f>'[6]TableC3(f)'!F$22</f>
        <v>2410.805</v>
      </c>
      <c r="G10" s="30">
        <f>'[6]TableC3(f)'!G$22</f>
        <v>1958.248</v>
      </c>
      <c r="H10" s="30">
        <f>'[6]TableC3(f)'!H$22</f>
        <v>1484.665</v>
      </c>
      <c r="I10" s="30">
        <f>'[6]TableC3(f)'!I$22</f>
        <v>993.877</v>
      </c>
      <c r="J10" s="30">
        <f>'[6]TableC3(f)'!J$22</f>
        <v>521.044</v>
      </c>
      <c r="K10" s="31">
        <f>'[6]TableC3(f)'!K$22</f>
        <v>127.789</v>
      </c>
      <c r="L10" s="30"/>
      <c r="M10" s="30"/>
      <c r="N10" s="30"/>
      <c r="O10" s="30"/>
      <c r="P10" s="4"/>
      <c r="Q10" s="4"/>
      <c r="R10" s="4"/>
      <c r="S10" s="4"/>
      <c r="T10" s="4"/>
      <c r="U10" s="4"/>
      <c r="V10" s="4"/>
      <c r="W10" s="4"/>
      <c r="X10" s="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5">
      <c r="A11" s="56">
        <v>1872</v>
      </c>
      <c r="B11" s="16">
        <f>SUM(C11:K11)</f>
        <v>18415.172999999995</v>
      </c>
      <c r="C11" s="30">
        <f>'[6]TableC3(f)'!C$62</f>
        <v>3531.868</v>
      </c>
      <c r="D11" s="30">
        <f>'[6]TableC3(f)'!D$62</f>
        <v>3065.886</v>
      </c>
      <c r="E11" s="30">
        <f>'[6]TableC3(f)'!E$62</f>
        <v>2799.489</v>
      </c>
      <c r="F11" s="30">
        <f>'[6]TableC3(f)'!F$62</f>
        <v>2537.962</v>
      </c>
      <c r="G11" s="30">
        <f>'[6]TableC3(f)'!G$62</f>
        <v>2293.807</v>
      </c>
      <c r="H11" s="30">
        <f>'[6]TableC3(f)'!H$62</f>
        <v>1859.121</v>
      </c>
      <c r="I11" s="30">
        <f>'[6]TableC3(f)'!I$62</f>
        <v>1400.549</v>
      </c>
      <c r="J11" s="30">
        <f>'[6]TableC3(f)'!J$62</f>
        <v>747.137</v>
      </c>
      <c r="K11" s="31">
        <f>'[6]TableC3(f)'!K$62</f>
        <v>179.354</v>
      </c>
      <c r="L11" s="30"/>
      <c r="M11" s="30"/>
      <c r="N11" s="30"/>
      <c r="O11" s="30"/>
      <c r="P11" s="4"/>
      <c r="Q11" s="4"/>
      <c r="R11" s="4"/>
      <c r="S11" s="4"/>
      <c r="T11" s="4"/>
      <c r="U11" s="4"/>
      <c r="V11" s="4"/>
      <c r="W11" s="4"/>
      <c r="X11" s="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5">
      <c r="A12" s="56">
        <v>1882</v>
      </c>
      <c r="B12" s="16">
        <f>SUM(C12:K12)</f>
        <v>18975.359</v>
      </c>
      <c r="C12" s="30">
        <f>'[6]TableC3(f)'!C$72</f>
        <v>3504.635</v>
      </c>
      <c r="D12" s="30">
        <f>'[6]TableC3(f)'!D$72</f>
        <v>3242.763</v>
      </c>
      <c r="E12" s="30">
        <f>'[6]TableC3(f)'!E$72</f>
        <v>2856.122</v>
      </c>
      <c r="F12" s="30">
        <f>'[6]TableC3(f)'!F$72</f>
        <v>2585.824</v>
      </c>
      <c r="G12" s="30">
        <f>'[6]TableC3(f)'!G$72</f>
        <v>2313.7</v>
      </c>
      <c r="H12" s="30">
        <f>'[6]TableC3(f)'!H$72</f>
        <v>2009.599</v>
      </c>
      <c r="I12" s="30">
        <f>'[6]TableC3(f)'!I$72</f>
        <v>1465.684</v>
      </c>
      <c r="J12" s="30">
        <f>'[6]TableC3(f)'!J$72</f>
        <v>795.816</v>
      </c>
      <c r="K12" s="31">
        <f>'[6]TableC3(f)'!K$72</f>
        <v>201.216</v>
      </c>
      <c r="L12" s="30"/>
      <c r="M12" s="30"/>
      <c r="N12" s="30"/>
      <c r="O12" s="30"/>
      <c r="P12" s="4"/>
      <c r="Q12" s="4"/>
      <c r="R12" s="4"/>
      <c r="S12" s="4"/>
      <c r="T12" s="4"/>
      <c r="U12" s="4"/>
      <c r="V12" s="4"/>
      <c r="W12" s="4"/>
      <c r="X12" s="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57">
        <v>1912</v>
      </c>
      <c r="B13" s="16">
        <f aca="true" t="shared" si="0" ref="B13:B18">SUM(C13:K13)</f>
        <v>19958.676</v>
      </c>
      <c r="C13" s="16">
        <f>'[6]TableC3(f)'!C$102</f>
        <v>3278.306</v>
      </c>
      <c r="D13" s="16">
        <f>'[6]TableC3(f)'!D$102</f>
        <v>3248.194</v>
      </c>
      <c r="E13" s="16">
        <f>'[6]TableC3(f)'!E$102</f>
        <v>3118.603</v>
      </c>
      <c r="F13" s="16">
        <f>'[6]TableC3(f)'!F$102</f>
        <v>2954.227</v>
      </c>
      <c r="G13" s="16">
        <f>'[6]TableC3(f)'!G$102</f>
        <v>2505.275</v>
      </c>
      <c r="H13" s="16">
        <f>'[6]TableC3(f)'!H$102</f>
        <v>2098.89</v>
      </c>
      <c r="I13" s="16">
        <f>'[6]TableC3(f)'!I$102</f>
        <v>1631.34</v>
      </c>
      <c r="J13" s="16">
        <f>'[6]TableC3(f)'!J$102</f>
        <v>883.83</v>
      </c>
      <c r="K13" s="17">
        <f>'[6]TableC3(f)'!K$102</f>
        <v>240.011</v>
      </c>
      <c r="L13" s="16"/>
      <c r="M13" s="16"/>
      <c r="N13" s="16"/>
      <c r="O13" s="16"/>
      <c r="P13" s="33"/>
      <c r="Q13" s="19"/>
      <c r="R13" s="19"/>
      <c r="S13" s="19"/>
      <c r="T13" s="19"/>
      <c r="U13" s="19"/>
      <c r="V13" s="32">
        <v>697139</v>
      </c>
      <c r="W13" s="32">
        <v>546776</v>
      </c>
      <c r="X13" s="34" t="e">
        <f>V13/(1000*#REF!)</f>
        <v>#REF!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5">
      <c r="A14" s="57">
        <v>1922</v>
      </c>
      <c r="B14" s="16">
        <f t="shared" si="0"/>
        <v>20430.52</v>
      </c>
      <c r="C14" s="16">
        <f>'[6]TableC3(f)'!C$112</f>
        <v>2663.474</v>
      </c>
      <c r="D14" s="16">
        <f>'[6]TableC3(f)'!D$112</f>
        <v>3387.112</v>
      </c>
      <c r="E14" s="16">
        <f>'[6]TableC3(f)'!E$112</f>
        <v>3222.053</v>
      </c>
      <c r="F14" s="16">
        <f>'[6]TableC3(f)'!F$112</f>
        <v>3012.637</v>
      </c>
      <c r="G14" s="16">
        <f>'[6]TableC3(f)'!G$112</f>
        <v>2830.766</v>
      </c>
      <c r="H14" s="16">
        <f>'[6]TableC3(f)'!H$112</f>
        <v>2292.978</v>
      </c>
      <c r="I14" s="16">
        <f>'[6]TableC3(f)'!I$112</f>
        <v>1753.656</v>
      </c>
      <c r="J14" s="16">
        <f>'[6]TableC3(f)'!J$112</f>
        <v>999.105</v>
      </c>
      <c r="K14" s="17">
        <f>'[6]TableC3(f)'!K$112</f>
        <v>268.739</v>
      </c>
      <c r="L14" s="16"/>
      <c r="M14" s="16"/>
      <c r="N14" s="16"/>
      <c r="O14" s="16"/>
      <c r="P14" s="33"/>
      <c r="Q14" s="19"/>
      <c r="R14" s="19"/>
      <c r="S14" s="19"/>
      <c r="T14" s="19"/>
      <c r="U14" s="19"/>
      <c r="V14" s="32">
        <v>692322</v>
      </c>
      <c r="W14" s="32">
        <v>574480</v>
      </c>
      <c r="X14" s="34" t="e">
        <f>V14/(1000*#REF!)</f>
        <v>#REF!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5">
      <c r="A15" s="57">
        <v>1927</v>
      </c>
      <c r="B15" s="16">
        <f t="shared" si="0"/>
        <v>20986.350000000002</v>
      </c>
      <c r="C15" s="16">
        <f>'[6]TableC3(f)'!C$117</f>
        <v>3050.923</v>
      </c>
      <c r="D15" s="16">
        <f>'[6]TableC3(f)'!D$117</f>
        <v>3056.513</v>
      </c>
      <c r="E15" s="16">
        <f>'[6]TableC3(f)'!E$117</f>
        <v>3369.424</v>
      </c>
      <c r="F15" s="16">
        <f>'[6]TableC3(f)'!F$117</f>
        <v>3080.645</v>
      </c>
      <c r="G15" s="16">
        <f>'[6]TableC3(f)'!G$117</f>
        <v>2844.494</v>
      </c>
      <c r="H15" s="16">
        <f>'[6]TableC3(f)'!H$117</f>
        <v>2421.98</v>
      </c>
      <c r="I15" s="16">
        <f>'[6]TableC3(f)'!I$117</f>
        <v>1850.979</v>
      </c>
      <c r="J15" s="16">
        <f>'[6]TableC3(f)'!J$117</f>
        <v>1022.724</v>
      </c>
      <c r="K15" s="17">
        <f>'[6]TableC3(f)'!K$117</f>
        <v>288.668</v>
      </c>
      <c r="L15" s="16"/>
      <c r="M15" s="16"/>
      <c r="N15" s="16"/>
      <c r="O15" s="16"/>
      <c r="P15" s="33"/>
      <c r="Q15" s="19"/>
      <c r="R15" s="19"/>
      <c r="S15" s="19"/>
      <c r="T15" s="19"/>
      <c r="U15" s="19"/>
      <c r="V15" s="32">
        <v>679809</v>
      </c>
      <c r="W15" s="32">
        <v>562847</v>
      </c>
      <c r="X15" s="34" t="e">
        <f>V15/(1000*#REF!)</f>
        <v>#REF!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5">
      <c r="A16" s="57">
        <v>1932</v>
      </c>
      <c r="B16" s="16">
        <f t="shared" si="0"/>
        <v>21347.525</v>
      </c>
      <c r="C16" s="16">
        <f>'[6]TableC3(f)'!C$122</f>
        <v>3417.941</v>
      </c>
      <c r="D16" s="16">
        <f>'[6]TableC3(f)'!D$122</f>
        <v>2702.575</v>
      </c>
      <c r="E16" s="16">
        <f>'[6]TableC3(f)'!E$122</f>
        <v>3323.359</v>
      </c>
      <c r="F16" s="16">
        <f>'[6]TableC3(f)'!F$122</f>
        <v>3206.223</v>
      </c>
      <c r="G16" s="16">
        <f>'[6]TableC3(f)'!G$122</f>
        <v>2863.8</v>
      </c>
      <c r="H16" s="16">
        <f>'[6]TableC3(f)'!H$122</f>
        <v>2550.507</v>
      </c>
      <c r="I16" s="16">
        <f>'[6]TableC3(f)'!I$122</f>
        <v>1890.301</v>
      </c>
      <c r="J16" s="16">
        <f>'[6]TableC3(f)'!J$122</f>
        <v>1081.743</v>
      </c>
      <c r="K16" s="17">
        <f>'[6]TableC3(f)'!K$122</f>
        <v>311.076</v>
      </c>
      <c r="L16" s="16"/>
      <c r="M16" s="16"/>
      <c r="N16" s="16"/>
      <c r="O16" s="16"/>
      <c r="P16" s="33"/>
      <c r="Q16" s="19"/>
      <c r="R16" s="19"/>
      <c r="S16" s="19"/>
      <c r="T16" s="19"/>
      <c r="U16" s="19"/>
      <c r="V16" s="32">
        <v>663705</v>
      </c>
      <c r="W16" s="32">
        <v>562864</v>
      </c>
      <c r="X16" s="34" t="e">
        <f>V16/(1000*#REF!)</f>
        <v>#REF!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5">
      <c r="A17" s="57">
        <v>1937</v>
      </c>
      <c r="B17" s="16">
        <f t="shared" si="0"/>
        <v>21384.88</v>
      </c>
      <c r="C17" s="16">
        <f>'[6]TableC3(f)'!C$127</f>
        <v>3199.503</v>
      </c>
      <c r="D17" s="16">
        <f>'[6]TableC3(f)'!D$127</f>
        <v>3018.156</v>
      </c>
      <c r="E17" s="16">
        <f>'[6]TableC3(f)'!E$127</f>
        <v>2941.797</v>
      </c>
      <c r="F17" s="16">
        <f>'[6]TableC3(f)'!F$127</f>
        <v>3256.15</v>
      </c>
      <c r="G17" s="16">
        <f>'[6]TableC3(f)'!G$127</f>
        <v>2892.44</v>
      </c>
      <c r="H17" s="16">
        <f>'[6]TableC3(f)'!H$127</f>
        <v>2564.148</v>
      </c>
      <c r="I17" s="16">
        <f>'[6]TableC3(f)'!I$127</f>
        <v>2002.524</v>
      </c>
      <c r="J17" s="16">
        <f>'[6]TableC3(f)'!J$127</f>
        <v>1170.709</v>
      </c>
      <c r="K17" s="17">
        <f>'[6]TableC3(f)'!K$127</f>
        <v>339.453</v>
      </c>
      <c r="L17" s="16"/>
      <c r="M17" s="16"/>
      <c r="N17" s="16"/>
      <c r="O17" s="16"/>
      <c r="P17" s="33"/>
      <c r="Q17" s="19"/>
      <c r="R17" s="19"/>
      <c r="S17" s="19"/>
      <c r="T17" s="19"/>
      <c r="U17" s="19"/>
      <c r="V17" s="32">
        <v>632896</v>
      </c>
      <c r="W17" s="32">
        <v>556956</v>
      </c>
      <c r="X17" s="34" t="e">
        <f>V17/(1000*#REF!)</f>
        <v>#REF!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5">
      <c r="A18" s="18">
        <v>1952</v>
      </c>
      <c r="B18" s="16">
        <f t="shared" si="0"/>
        <v>21932.745</v>
      </c>
      <c r="C18" s="16">
        <f>'[6]TableC3(f)'!C$142</f>
        <v>3500.846</v>
      </c>
      <c r="D18" s="16">
        <f>'[6]TableC3(f)'!D$142</f>
        <v>2828.253</v>
      </c>
      <c r="E18" s="16">
        <f>'[6]TableC3(f)'!E$142</f>
        <v>3171.958</v>
      </c>
      <c r="F18" s="16">
        <f>'[6]TableC3(f)'!F$142</f>
        <v>2498.982</v>
      </c>
      <c r="G18" s="16">
        <f>'[6]TableC3(f)'!G$142</f>
        <v>3047.864</v>
      </c>
      <c r="H18" s="16">
        <f>'[6]TableC3(f)'!H$142</f>
        <v>2765.934</v>
      </c>
      <c r="I18" s="16">
        <f>'[6]TableC3(f)'!I$142</f>
        <v>2234.347</v>
      </c>
      <c r="J18" s="16">
        <f>'[6]TableC3(f)'!J$142</f>
        <v>1442.26</v>
      </c>
      <c r="K18" s="17">
        <f>'[6]TableC3(f)'!K$142</f>
        <v>442.301</v>
      </c>
      <c r="L18" s="16"/>
      <c r="M18" s="16"/>
      <c r="N18" s="16"/>
      <c r="O18" s="16"/>
      <c r="P18" s="33"/>
      <c r="Q18" s="19"/>
      <c r="R18" s="19"/>
      <c r="S18" s="19"/>
      <c r="T18" s="19"/>
      <c r="U18" s="19"/>
      <c r="V18" s="32">
        <v>524831</v>
      </c>
      <c r="W18" s="32">
        <v>474302</v>
      </c>
      <c r="X18" s="34" t="e">
        <f>V18/(1000*#REF!)</f>
        <v>#REF!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5.75" thickBot="1">
      <c r="A19" s="20">
        <v>1992</v>
      </c>
      <c r="B19" s="21">
        <f>SUM(C19:K19)</f>
        <v>29315.412000000004</v>
      </c>
      <c r="C19" s="21">
        <f>'[6]TableC3(f)'!C$182</f>
        <v>3698.9</v>
      </c>
      <c r="D19" s="21">
        <f>'[6]TableC3(f)'!D$182</f>
        <v>3859.407</v>
      </c>
      <c r="E19" s="21">
        <f>'[6]TableC3(f)'!E$182</f>
        <v>4281.323</v>
      </c>
      <c r="F19" s="21">
        <f>'[6]TableC3(f)'!F$182</f>
        <v>4296.362</v>
      </c>
      <c r="G19" s="21">
        <f>'[6]TableC3(f)'!G$182</f>
        <v>3770.378</v>
      </c>
      <c r="H19" s="21">
        <f>'[6]TableC3(f)'!H$182</f>
        <v>2899.884</v>
      </c>
      <c r="I19" s="21">
        <f>'[6]TableC3(f)'!I$182</f>
        <v>3021.561</v>
      </c>
      <c r="J19" s="21">
        <f>'[6]TableC3(f)'!J$182</f>
        <v>1963.021</v>
      </c>
      <c r="K19" s="22">
        <f>'[6]TableC3(f)'!K$182</f>
        <v>1524.576</v>
      </c>
      <c r="L19" s="16"/>
      <c r="M19" s="16"/>
      <c r="N19" s="16"/>
      <c r="O19" s="16"/>
      <c r="P19" s="33"/>
      <c r="Q19" s="19"/>
      <c r="R19" s="19"/>
      <c r="S19" s="19"/>
      <c r="T19" s="19"/>
      <c r="U19" s="19"/>
      <c r="V19" s="32">
        <v>521530</v>
      </c>
      <c r="W19" s="32">
        <v>511671</v>
      </c>
      <c r="X19" s="34" t="e">
        <f>V19/(1000*#REF!)</f>
        <v>#REF!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38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">
      <c r="A21" s="4" t="s">
        <v>118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16" ht="1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ht="1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2:16" ht="1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2:16" ht="1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6" ht="1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5" ht="1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3:15" ht="1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3:15" ht="1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3:15" ht="1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3:15" ht="1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3:15" ht="1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96"/>
  <sheetViews>
    <sheetView workbookViewId="0" topLeftCell="A1">
      <selection activeCell="A2" sqref="A2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384" width="10.25390625" style="3" customWidth="1"/>
  </cols>
  <sheetData>
    <row r="2" spans="1:15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 thickTop="1">
      <c r="A5" s="173" t="s">
        <v>130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4"/>
      <c r="M5" s="4"/>
      <c r="N5" s="4"/>
      <c r="O5" s="4"/>
    </row>
    <row r="6" spans="1:15" ht="15">
      <c r="A6" s="5"/>
      <c r="B6" s="6"/>
      <c r="C6" s="7"/>
      <c r="D6" s="7"/>
      <c r="E6" s="7"/>
      <c r="F6" s="7"/>
      <c r="G6" s="7"/>
      <c r="H6" s="7"/>
      <c r="I6" s="7"/>
      <c r="J6" s="7"/>
      <c r="K6" s="8"/>
      <c r="L6" s="4"/>
      <c r="M6" s="4"/>
      <c r="N6" s="4"/>
      <c r="O6" s="4"/>
    </row>
    <row r="7" spans="1:15" ht="15">
      <c r="A7" s="17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10" t="s">
        <v>10</v>
      </c>
      <c r="L7" s="4"/>
      <c r="M7" s="4"/>
      <c r="N7" s="4"/>
      <c r="O7" s="4"/>
    </row>
    <row r="8" spans="1:15" s="2" customFormat="1" ht="30" customHeight="1">
      <c r="A8" s="180"/>
      <c r="B8" s="23" t="s">
        <v>11</v>
      </c>
      <c r="C8" s="23" t="s">
        <v>12</v>
      </c>
      <c r="D8" s="24" t="s">
        <v>13</v>
      </c>
      <c r="E8" s="24" t="s">
        <v>14</v>
      </c>
      <c r="F8" s="24" t="s">
        <v>15</v>
      </c>
      <c r="G8" s="24" t="s">
        <v>16</v>
      </c>
      <c r="H8" s="24" t="s">
        <v>17</v>
      </c>
      <c r="I8" s="24" t="s">
        <v>18</v>
      </c>
      <c r="J8" s="24" t="s">
        <v>19</v>
      </c>
      <c r="K8" s="25" t="s">
        <v>20</v>
      </c>
      <c r="L8" s="1"/>
      <c r="M8" s="1"/>
      <c r="N8" s="1"/>
      <c r="O8" s="1"/>
    </row>
    <row r="9" spans="1:15" s="2" customFormat="1" ht="0.75" customHeight="1">
      <c r="A9" s="26"/>
      <c r="B9" s="27"/>
      <c r="C9" s="27" t="s">
        <v>48</v>
      </c>
      <c r="D9" s="28" t="s">
        <v>49</v>
      </c>
      <c r="E9" s="28" t="s">
        <v>50</v>
      </c>
      <c r="F9" s="28" t="s">
        <v>51</v>
      </c>
      <c r="G9" s="28" t="s">
        <v>52</v>
      </c>
      <c r="H9" s="28" t="s">
        <v>53</v>
      </c>
      <c r="I9" s="28" t="s">
        <v>54</v>
      </c>
      <c r="J9" s="28" t="s">
        <v>55</v>
      </c>
      <c r="K9" s="29" t="s">
        <v>56</v>
      </c>
      <c r="L9" s="1"/>
      <c r="M9" s="1"/>
      <c r="N9" s="1"/>
      <c r="O9" s="1"/>
    </row>
    <row r="10" spans="1:15" s="2" customFormat="1" ht="15">
      <c r="A10" s="15">
        <v>1832</v>
      </c>
      <c r="B10" s="16">
        <f>SUM(C10:K10)</f>
        <v>407.67300000000006</v>
      </c>
      <c r="C10" s="30">
        <f>'[6]TableC4(m)'!C$22</f>
        <v>169.317</v>
      </c>
      <c r="D10" s="30">
        <f>'[6]TableC4(m)'!D$22</f>
        <v>18.056</v>
      </c>
      <c r="E10" s="30">
        <f>'[6]TableC4(m)'!E$22</f>
        <v>26.237</v>
      </c>
      <c r="F10" s="30">
        <f>'[6]TableC4(m)'!F$22</f>
        <v>24.845</v>
      </c>
      <c r="G10" s="30">
        <f>'[6]TableC4(m)'!G$22</f>
        <v>26.215</v>
      </c>
      <c r="H10" s="30">
        <f>'[6]TableC4(m)'!H$22</f>
        <v>32.73</v>
      </c>
      <c r="I10" s="30">
        <f>'[6]TableC4(m)'!I$22</f>
        <v>44.194</v>
      </c>
      <c r="J10" s="30">
        <f>'[6]TableC4(m)'!J$22</f>
        <v>45.233</v>
      </c>
      <c r="K10" s="31">
        <f>'[6]TableC4(m)'!K$22</f>
        <v>20.846</v>
      </c>
      <c r="L10" s="1"/>
      <c r="M10" s="1"/>
      <c r="N10" s="1"/>
      <c r="O10" s="1"/>
    </row>
    <row r="11" spans="1:15" s="2" customFormat="1" ht="15">
      <c r="A11" s="56">
        <v>1872</v>
      </c>
      <c r="B11" s="16">
        <f>SUM(C11:K11)</f>
        <v>427.656</v>
      </c>
      <c r="C11" s="30">
        <f>'[6]TableC4(m)'!C$62</f>
        <v>158.491</v>
      </c>
      <c r="D11" s="30">
        <f>'[6]TableC4(m)'!D$62</f>
        <v>18.694</v>
      </c>
      <c r="E11" s="30">
        <f>'[6]TableC4(m)'!E$62</f>
        <v>23.352</v>
      </c>
      <c r="F11" s="30">
        <f>'[6]TableC4(m)'!F$62</f>
        <v>24.43</v>
      </c>
      <c r="G11" s="30">
        <f>'[6]TableC4(m)'!G$62</f>
        <v>30.389</v>
      </c>
      <c r="H11" s="30">
        <f>'[6]TableC4(m)'!H$62</f>
        <v>38.277</v>
      </c>
      <c r="I11" s="30">
        <f>'[6]TableC4(m)'!I$62</f>
        <v>49.32</v>
      </c>
      <c r="J11" s="30">
        <f>'[6]TableC4(m)'!J$62</f>
        <v>61.628</v>
      </c>
      <c r="K11" s="31">
        <f>'[6]TableC4(m)'!K$62</f>
        <v>23.075</v>
      </c>
      <c r="L11" s="1"/>
      <c r="M11" s="1"/>
      <c r="N11" s="1"/>
      <c r="O11" s="1"/>
    </row>
    <row r="12" spans="1:15" s="2" customFormat="1" ht="15">
      <c r="A12" s="56">
        <v>1882</v>
      </c>
      <c r="B12" s="16">
        <f>SUM(C12:K12)</f>
        <v>429.00199999999995</v>
      </c>
      <c r="C12" s="30">
        <f>'[6]TableC4(m)'!C$72</f>
        <v>145.454</v>
      </c>
      <c r="D12" s="30">
        <f>'[6]TableC4(m)'!D$72</f>
        <v>18.208</v>
      </c>
      <c r="E12" s="30">
        <f>'[6]TableC4(m)'!E$72</f>
        <v>23.028</v>
      </c>
      <c r="F12" s="30">
        <f>'[6]TableC4(m)'!F$72</f>
        <v>24.301</v>
      </c>
      <c r="G12" s="30">
        <f>'[6]TableC4(m)'!G$72</f>
        <v>30.918</v>
      </c>
      <c r="H12" s="30">
        <f>'[6]TableC4(m)'!H$72</f>
        <v>42.988</v>
      </c>
      <c r="I12" s="30">
        <f>'[6]TableC4(m)'!I$72</f>
        <v>51.998</v>
      </c>
      <c r="J12" s="30">
        <f>'[6]TableC4(m)'!J$72</f>
        <v>66.208</v>
      </c>
      <c r="K12" s="31">
        <f>'[6]TableC4(m)'!K$72</f>
        <v>25.899</v>
      </c>
      <c r="L12" s="1"/>
      <c r="M12" s="1"/>
      <c r="N12" s="1"/>
      <c r="O12" s="1"/>
    </row>
    <row r="13" spans="1:15" ht="15">
      <c r="A13" s="57">
        <v>1912</v>
      </c>
      <c r="B13" s="16">
        <f aca="true" t="shared" si="0" ref="B13:B18">SUM(C13:K13)</f>
        <v>364.467</v>
      </c>
      <c r="C13" s="16">
        <f>'[6]TableC4(m)'!C$102</f>
        <v>70.048</v>
      </c>
      <c r="D13" s="16">
        <f>'[6]TableC4(m)'!D$102</f>
        <v>11.133</v>
      </c>
      <c r="E13" s="16">
        <f>'[6]TableC4(m)'!E$102</f>
        <v>21.053</v>
      </c>
      <c r="F13" s="16">
        <f>'[6]TableC4(m)'!F$102</f>
        <v>26.027</v>
      </c>
      <c r="G13" s="16">
        <f>'[6]TableC4(m)'!G$102</f>
        <v>32.569</v>
      </c>
      <c r="H13" s="16">
        <f>'[6]TableC4(m)'!H$102</f>
        <v>44.097</v>
      </c>
      <c r="I13" s="16">
        <f>'[6]TableC4(m)'!I$102</f>
        <v>61.502</v>
      </c>
      <c r="J13" s="16">
        <f>'[6]TableC4(m)'!J$102</f>
        <v>67.988</v>
      </c>
      <c r="K13" s="17">
        <f>'[6]TableC4(m)'!K$102</f>
        <v>30.05</v>
      </c>
      <c r="L13" s="19"/>
      <c r="M13" s="19"/>
      <c r="N13" s="19"/>
      <c r="O13" s="19"/>
    </row>
    <row r="14" spans="1:15" ht="15">
      <c r="A14" s="57">
        <v>1922</v>
      </c>
      <c r="B14" s="16">
        <f t="shared" si="0"/>
        <v>351.861</v>
      </c>
      <c r="C14" s="16">
        <f>'[6]TableC4(m)'!C$112</f>
        <v>54.22</v>
      </c>
      <c r="D14" s="16">
        <f>'[6]TableC4(m)'!D$112</f>
        <v>10.41</v>
      </c>
      <c r="E14" s="16">
        <f>'[6]TableC4(m)'!E$112</f>
        <v>17.647</v>
      </c>
      <c r="F14" s="16">
        <f>'[6]TableC4(m)'!F$112</f>
        <v>19.407</v>
      </c>
      <c r="G14" s="16">
        <f>'[6]TableC4(m)'!G$112</f>
        <v>30.445</v>
      </c>
      <c r="H14" s="16">
        <f>'[6]TableC4(m)'!H$112</f>
        <v>45.276</v>
      </c>
      <c r="I14" s="16">
        <f>'[6]TableC4(m)'!I$112</f>
        <v>65.024</v>
      </c>
      <c r="J14" s="16">
        <f>'[6]TableC4(m)'!J$112</f>
        <v>74.6</v>
      </c>
      <c r="K14" s="17">
        <f>'[6]TableC4(m)'!K$112</f>
        <v>34.832</v>
      </c>
      <c r="L14" s="19"/>
      <c r="M14" s="19"/>
      <c r="N14" s="19"/>
      <c r="O14" s="19"/>
    </row>
    <row r="15" spans="1:15" ht="15">
      <c r="A15" s="57">
        <v>1927</v>
      </c>
      <c r="B15" s="16">
        <f t="shared" si="0"/>
        <v>347.215</v>
      </c>
      <c r="C15" s="16">
        <f>'[6]TableC4(m)'!C$117</f>
        <v>54.002</v>
      </c>
      <c r="D15" s="16">
        <f>'[6]TableC4(m)'!D$117</f>
        <v>9.773</v>
      </c>
      <c r="E15" s="16">
        <f>'[6]TableC4(m)'!E$117</f>
        <v>19.369</v>
      </c>
      <c r="F15" s="16">
        <f>'[6]TableC4(m)'!F$117</f>
        <v>18.561</v>
      </c>
      <c r="G15" s="16">
        <f>'[6]TableC4(m)'!G$117</f>
        <v>28.046</v>
      </c>
      <c r="H15" s="16">
        <f>'[6]TableC4(m)'!H$117</f>
        <v>44.057</v>
      </c>
      <c r="I15" s="16">
        <f>'[6]TableC4(m)'!I$117</f>
        <v>65.27</v>
      </c>
      <c r="J15" s="16">
        <f>'[6]TableC4(m)'!J$117</f>
        <v>72.014</v>
      </c>
      <c r="K15" s="17">
        <f>'[6]TableC4(m)'!K$117</f>
        <v>36.123</v>
      </c>
      <c r="L15" s="19"/>
      <c r="M15" s="19"/>
      <c r="N15" s="19"/>
      <c r="O15" s="19"/>
    </row>
    <row r="16" spans="1:15" ht="15">
      <c r="A16" s="57">
        <v>1932</v>
      </c>
      <c r="B16" s="16">
        <f t="shared" si="0"/>
        <v>343.54799999999994</v>
      </c>
      <c r="C16" s="16">
        <f>'[6]TableC4(m)'!C$122</f>
        <v>48.706</v>
      </c>
      <c r="D16" s="16">
        <f>'[6]TableC4(m)'!D$122</f>
        <v>7.559</v>
      </c>
      <c r="E16" s="16">
        <f>'[6]TableC4(m)'!E$122</f>
        <v>18.043</v>
      </c>
      <c r="F16" s="16">
        <f>'[6]TableC4(m)'!F$122</f>
        <v>20.149</v>
      </c>
      <c r="G16" s="16">
        <f>'[6]TableC4(m)'!G$122</f>
        <v>26.945</v>
      </c>
      <c r="H16" s="16">
        <f>'[6]TableC4(m)'!H$122</f>
        <v>46.89</v>
      </c>
      <c r="I16" s="16">
        <f>'[6]TableC4(m)'!I$122</f>
        <v>66.726</v>
      </c>
      <c r="J16" s="16">
        <f>'[6]TableC4(m)'!J$122</f>
        <v>73.556</v>
      </c>
      <c r="K16" s="17">
        <f>'[6]TableC4(m)'!K$122</f>
        <v>34.974</v>
      </c>
      <c r="L16" s="19"/>
      <c r="M16" s="19"/>
      <c r="N16" s="19"/>
      <c r="O16" s="19"/>
    </row>
    <row r="17" spans="1:15" ht="15">
      <c r="A17" s="57">
        <v>1937</v>
      </c>
      <c r="B17" s="16">
        <f t="shared" si="0"/>
        <v>332.01500000000004</v>
      </c>
      <c r="C17" s="16">
        <f>'[6]TableC4(m)'!C$127</f>
        <v>35.898</v>
      </c>
      <c r="D17" s="16">
        <f>'[6]TableC4(m)'!D$127</f>
        <v>6.412</v>
      </c>
      <c r="E17" s="16">
        <f>'[6]TableC4(m)'!E$127</f>
        <v>14.163</v>
      </c>
      <c r="F17" s="16">
        <f>'[6]TableC4(m)'!F$127</f>
        <v>23.229</v>
      </c>
      <c r="G17" s="16">
        <f>'[6]TableC4(m)'!G$127</f>
        <v>27.108</v>
      </c>
      <c r="H17" s="16">
        <f>'[6]TableC4(m)'!H$127</f>
        <v>44.304</v>
      </c>
      <c r="I17" s="16">
        <f>'[6]TableC4(m)'!I$127</f>
        <v>68.828</v>
      </c>
      <c r="J17" s="16">
        <f>'[6]TableC4(m)'!J$127</f>
        <v>75.917</v>
      </c>
      <c r="K17" s="17">
        <f>'[6]TableC4(m)'!K$127</f>
        <v>36.156</v>
      </c>
      <c r="L17" s="19"/>
      <c r="M17" s="19"/>
      <c r="N17" s="19"/>
      <c r="O17" s="19"/>
    </row>
    <row r="18" spans="1:15" ht="15">
      <c r="A18" s="18">
        <v>1952</v>
      </c>
      <c r="B18" s="16">
        <f t="shared" si="0"/>
        <v>266.864</v>
      </c>
      <c r="C18" s="16">
        <f>'[6]TableC4(m)'!C$142</f>
        <v>26.519</v>
      </c>
      <c r="D18" s="16">
        <f>'[6]TableC4(m)'!D$142</f>
        <v>2.642</v>
      </c>
      <c r="E18" s="16">
        <f>'[6]TableC4(m)'!E$142</f>
        <v>6.013</v>
      </c>
      <c r="F18" s="16">
        <f>'[6]TableC4(m)'!F$142</f>
        <v>7.42</v>
      </c>
      <c r="G18" s="16">
        <f>'[6]TableC4(m)'!G$142</f>
        <v>20.776</v>
      </c>
      <c r="H18" s="16">
        <f>'[6]TableC4(m)'!H$142</f>
        <v>35.552</v>
      </c>
      <c r="I18" s="16">
        <f>'[6]TableC4(m)'!I$142</f>
        <v>52.485</v>
      </c>
      <c r="J18" s="16">
        <f>'[6]TableC4(m)'!J$142</f>
        <v>74.505</v>
      </c>
      <c r="K18" s="17">
        <f>'[6]TableC4(m)'!K$142</f>
        <v>40.952</v>
      </c>
      <c r="L18" s="19"/>
      <c r="M18" s="19"/>
      <c r="N18" s="19"/>
      <c r="O18" s="19"/>
    </row>
    <row r="19" spans="1:15" ht="15.75" thickBot="1">
      <c r="A19" s="20">
        <v>1992</v>
      </c>
      <c r="B19" s="21">
        <f>SUM(C19:K19)</f>
        <v>271.506</v>
      </c>
      <c r="C19" s="21">
        <f>'[6]TableC4(m)'!C$182</f>
        <v>4.033</v>
      </c>
      <c r="D19" s="21">
        <f>'[6]TableC4(m)'!D$182</f>
        <v>2.387</v>
      </c>
      <c r="E19" s="21">
        <f>'[6]TableC4(m)'!E$182</f>
        <v>6.84</v>
      </c>
      <c r="F19" s="21">
        <f>'[6]TableC4(m)'!F$182</f>
        <v>9.933</v>
      </c>
      <c r="G19" s="21">
        <f>'[6]TableC4(m)'!G$182</f>
        <v>16.594</v>
      </c>
      <c r="H19" s="21">
        <f>'[6]TableC4(m)'!H$182</f>
        <v>27.533</v>
      </c>
      <c r="I19" s="21">
        <f>'[6]TableC4(m)'!I$182</f>
        <v>54.86</v>
      </c>
      <c r="J19" s="21">
        <f>'[6]TableC4(m)'!J$182</f>
        <v>63.857</v>
      </c>
      <c r="K19" s="22">
        <f>'[6]TableC4(m)'!K$182</f>
        <v>85.469</v>
      </c>
      <c r="L19" s="19"/>
      <c r="M19" s="19"/>
      <c r="N19" s="19"/>
      <c r="O19" s="19"/>
    </row>
    <row r="20" spans="1:15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>
      <c r="A21" s="4" t="s">
        <v>119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5">
      <c r="C96" s="19"/>
      <c r="D96" s="19"/>
      <c r="E96" s="19"/>
      <c r="F96" s="19"/>
      <c r="G96" s="19"/>
      <c r="H96" s="19"/>
      <c r="I96" s="19"/>
      <c r="J96" s="19"/>
      <c r="K96" s="19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6"/>
  <sheetViews>
    <sheetView workbookViewId="0" topLeftCell="A1">
      <selection activeCell="A2" sqref="A2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384" width="10.25390625" style="3" customWidth="1"/>
  </cols>
  <sheetData>
    <row r="1" spans="1:15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.75" customHeight="1" thickTop="1">
      <c r="A5" s="173" t="s">
        <v>131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4"/>
      <c r="M5" s="4"/>
      <c r="N5" s="4"/>
      <c r="O5" s="4"/>
    </row>
    <row r="6" spans="1:15" ht="15">
      <c r="A6" s="5"/>
      <c r="B6" s="6"/>
      <c r="C6" s="7"/>
      <c r="D6" s="7"/>
      <c r="E6" s="7"/>
      <c r="F6" s="7"/>
      <c r="G6" s="7"/>
      <c r="H6" s="7"/>
      <c r="I6" s="7"/>
      <c r="J6" s="7"/>
      <c r="K6" s="8"/>
      <c r="L6" s="4"/>
      <c r="M6" s="4"/>
      <c r="N6" s="4"/>
      <c r="O6" s="4"/>
    </row>
    <row r="7" spans="1:15" ht="15">
      <c r="A7" s="17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10" t="s">
        <v>10</v>
      </c>
      <c r="L7" s="4"/>
      <c r="M7" s="4"/>
      <c r="N7" s="4"/>
      <c r="O7" s="4"/>
    </row>
    <row r="8" spans="1:15" s="2" customFormat="1" ht="30" customHeight="1">
      <c r="A8" s="180"/>
      <c r="B8" s="23" t="s">
        <v>11</v>
      </c>
      <c r="C8" s="23" t="s">
        <v>12</v>
      </c>
      <c r="D8" s="24" t="s">
        <v>13</v>
      </c>
      <c r="E8" s="24" t="s">
        <v>14</v>
      </c>
      <c r="F8" s="24" t="s">
        <v>15</v>
      </c>
      <c r="G8" s="24" t="s">
        <v>16</v>
      </c>
      <c r="H8" s="24" t="s">
        <v>17</v>
      </c>
      <c r="I8" s="24" t="s">
        <v>18</v>
      </c>
      <c r="J8" s="24" t="s">
        <v>19</v>
      </c>
      <c r="K8" s="25" t="s">
        <v>20</v>
      </c>
      <c r="L8" s="1"/>
      <c r="M8" s="1"/>
      <c r="N8" s="1"/>
      <c r="O8" s="1"/>
    </row>
    <row r="9" spans="1:15" s="2" customFormat="1" ht="0.75" customHeight="1">
      <c r="A9" s="26"/>
      <c r="B9" s="27"/>
      <c r="C9" s="27" t="s">
        <v>57</v>
      </c>
      <c r="D9" s="28" t="s">
        <v>58</v>
      </c>
      <c r="E9" s="28" t="s">
        <v>59</v>
      </c>
      <c r="F9" s="28" t="s">
        <v>60</v>
      </c>
      <c r="G9" s="28" t="s">
        <v>61</v>
      </c>
      <c r="H9" s="28" t="s">
        <v>62</v>
      </c>
      <c r="I9" s="28" t="s">
        <v>63</v>
      </c>
      <c r="J9" s="28" t="s">
        <v>64</v>
      </c>
      <c r="K9" s="29" t="s">
        <v>65</v>
      </c>
      <c r="L9" s="1"/>
      <c r="M9" s="1"/>
      <c r="N9" s="1"/>
      <c r="O9" s="1"/>
    </row>
    <row r="10" spans="1:15" s="2" customFormat="1" ht="15">
      <c r="A10" s="15">
        <v>1832</v>
      </c>
      <c r="B10" s="16">
        <f>SUM(C10:K10)</f>
        <v>381.339</v>
      </c>
      <c r="C10" s="30">
        <f>'[6]TableC4(f)'!C$22</f>
        <v>144.374</v>
      </c>
      <c r="D10" s="30">
        <f>'[6]TableC4(f)'!D$22</f>
        <v>20.461</v>
      </c>
      <c r="E10" s="30">
        <f>'[6]TableC4(f)'!E$22</f>
        <v>25.084</v>
      </c>
      <c r="F10" s="30">
        <f>'[6]TableC4(f)'!F$22</f>
        <v>24.624</v>
      </c>
      <c r="G10" s="30">
        <f>'[6]TableC4(f)'!G$22</f>
        <v>24.77</v>
      </c>
      <c r="H10" s="30">
        <f>'[6]TableC4(f)'!H$22</f>
        <v>30.691</v>
      </c>
      <c r="I10" s="30">
        <f>'[6]TableC4(f)'!I$22</f>
        <v>41.772</v>
      </c>
      <c r="J10" s="30">
        <f>'[6]TableC4(f)'!J$22</f>
        <v>45.314</v>
      </c>
      <c r="K10" s="31">
        <f>'[6]TableC4(f)'!K$22</f>
        <v>24.249</v>
      </c>
      <c r="L10" s="1"/>
      <c r="M10" s="1"/>
      <c r="N10" s="1"/>
      <c r="O10" s="1"/>
    </row>
    <row r="11" spans="1:15" s="2" customFormat="1" ht="15">
      <c r="A11" s="56">
        <v>1872</v>
      </c>
      <c r="B11" s="16">
        <f>SUM(C11:K11)</f>
        <v>405.293</v>
      </c>
      <c r="C11" s="30">
        <f>'[6]TableC4(f)'!C$62</f>
        <v>136.433</v>
      </c>
      <c r="D11" s="30">
        <f>'[6]TableC4(f)'!D$62</f>
        <v>20.301</v>
      </c>
      <c r="E11" s="30">
        <f>'[6]TableC4(f)'!E$62</f>
        <v>21.323</v>
      </c>
      <c r="F11" s="30">
        <f>'[6]TableC4(f)'!F$62</f>
        <v>21.694</v>
      </c>
      <c r="G11" s="30">
        <f>'[6]TableC4(f)'!G$62</f>
        <v>24.841</v>
      </c>
      <c r="H11" s="30">
        <f>'[6]TableC4(f)'!H$62</f>
        <v>33.009</v>
      </c>
      <c r="I11" s="30">
        <f>'[6]TableC4(f)'!I$62</f>
        <v>47.001</v>
      </c>
      <c r="J11" s="30">
        <f>'[6]TableC4(f)'!J$62</f>
        <v>67.917</v>
      </c>
      <c r="K11" s="31">
        <f>'[6]TableC4(f)'!K$62</f>
        <v>32.774</v>
      </c>
      <c r="L11" s="1"/>
      <c r="M11" s="1"/>
      <c r="N11" s="1"/>
      <c r="O11" s="1"/>
    </row>
    <row r="12" spans="1:15" s="2" customFormat="1" ht="15">
      <c r="A12" s="56">
        <v>1882</v>
      </c>
      <c r="B12" s="16">
        <f>SUM(C12:K12)</f>
        <v>403.842</v>
      </c>
      <c r="C12" s="30">
        <f>'[6]TableC4(f)'!C$72</f>
        <v>124.638</v>
      </c>
      <c r="D12" s="30">
        <f>'[6]TableC4(f)'!D$72</f>
        <v>19.756</v>
      </c>
      <c r="E12" s="30">
        <f>'[6]TableC4(f)'!E$72</f>
        <v>20.882</v>
      </c>
      <c r="F12" s="30">
        <f>'[6]TableC4(f)'!F$72</f>
        <v>21.35</v>
      </c>
      <c r="G12" s="30">
        <f>'[6]TableC4(f)'!G$72</f>
        <v>24.321</v>
      </c>
      <c r="H12" s="30">
        <f>'[6]TableC4(f)'!H$72</f>
        <v>34.668</v>
      </c>
      <c r="I12" s="30">
        <f>'[6]TableC4(f)'!I$72</f>
        <v>48.503</v>
      </c>
      <c r="J12" s="30">
        <f>'[6]TableC4(f)'!J$72</f>
        <v>72.489</v>
      </c>
      <c r="K12" s="31">
        <f>'[6]TableC4(f)'!K$72</f>
        <v>37.235</v>
      </c>
      <c r="L12" s="1"/>
      <c r="M12" s="1"/>
      <c r="N12" s="1"/>
      <c r="O12" s="1"/>
    </row>
    <row r="13" spans="1:15" ht="15">
      <c r="A13" s="57">
        <v>1912</v>
      </c>
      <c r="B13" s="16">
        <f aca="true" t="shared" si="0" ref="B13:B18">SUM(C13:K13)</f>
        <v>332.67199999999997</v>
      </c>
      <c r="C13" s="16">
        <f>'[6]TableC4(f)'!C$102</f>
        <v>58.982</v>
      </c>
      <c r="D13" s="16">
        <f>'[6]TableC4(f)'!D$102</f>
        <v>11.891</v>
      </c>
      <c r="E13" s="16">
        <f>'[6]TableC4(f)'!E$102</f>
        <v>18.733</v>
      </c>
      <c r="F13" s="16">
        <f>'[6]TableC4(f)'!F$102</f>
        <v>20.452</v>
      </c>
      <c r="G13" s="16">
        <f>'[6]TableC4(f)'!G$102</f>
        <v>22.739</v>
      </c>
      <c r="H13" s="16">
        <f>'[6]TableC4(f)'!H$102</f>
        <v>32.116</v>
      </c>
      <c r="I13" s="16">
        <f>'[6]TableC4(f)'!I$102</f>
        <v>54.907</v>
      </c>
      <c r="J13" s="16">
        <f>'[6]TableC4(f)'!J$102</f>
        <v>71.643</v>
      </c>
      <c r="K13" s="17">
        <f>'[6]TableC4(f)'!K$102</f>
        <v>41.209</v>
      </c>
      <c r="L13" s="19"/>
      <c r="M13" s="19"/>
      <c r="N13" s="19"/>
      <c r="O13" s="19"/>
    </row>
    <row r="14" spans="1:15" ht="15">
      <c r="A14" s="57">
        <v>1922</v>
      </c>
      <c r="B14" s="16">
        <f t="shared" si="0"/>
        <v>340.37</v>
      </c>
      <c r="C14" s="16">
        <f>'[6]TableC4(f)'!C$112</f>
        <v>43.295</v>
      </c>
      <c r="D14" s="16">
        <f>'[6]TableC4(f)'!D$112</f>
        <v>11.754</v>
      </c>
      <c r="E14" s="16">
        <f>'[6]TableC4(f)'!E$112</f>
        <v>18.699</v>
      </c>
      <c r="F14" s="16">
        <f>'[6]TableC4(f)'!F$112</f>
        <v>18.868</v>
      </c>
      <c r="G14" s="16">
        <f>'[6]TableC4(f)'!G$112</f>
        <v>24.084</v>
      </c>
      <c r="H14" s="16">
        <f>'[6]TableC4(f)'!H$112</f>
        <v>33.776</v>
      </c>
      <c r="I14" s="16">
        <f>'[6]TableC4(f)'!I$112</f>
        <v>56.53</v>
      </c>
      <c r="J14" s="16">
        <f>'[6]TableC4(f)'!J$112</f>
        <v>82.734</v>
      </c>
      <c r="K14" s="17">
        <f>'[6]TableC4(f)'!K$112</f>
        <v>50.63</v>
      </c>
      <c r="L14" s="19"/>
      <c r="M14" s="19"/>
      <c r="N14" s="19"/>
      <c r="O14" s="19"/>
    </row>
    <row r="15" spans="1:15" ht="15">
      <c r="A15" s="57">
        <v>1927</v>
      </c>
      <c r="B15" s="16">
        <f t="shared" si="0"/>
        <v>332.601</v>
      </c>
      <c r="C15" s="16">
        <f>'[6]TableC4(f)'!C$117</f>
        <v>44.196</v>
      </c>
      <c r="D15" s="16">
        <f>'[6]TableC4(f)'!D$117</f>
        <v>10.821</v>
      </c>
      <c r="E15" s="16">
        <f>'[6]TableC4(f)'!E$117</f>
        <v>18.295</v>
      </c>
      <c r="F15" s="16">
        <f>'[6]TableC4(f)'!F$117</f>
        <v>17.223</v>
      </c>
      <c r="G15" s="16">
        <f>'[6]TableC4(f)'!G$117</f>
        <v>21.709</v>
      </c>
      <c r="H15" s="16">
        <f>'[6]TableC4(f)'!H$117</f>
        <v>32.497</v>
      </c>
      <c r="I15" s="16">
        <f>'[6]TableC4(f)'!I$117</f>
        <v>55.365</v>
      </c>
      <c r="J15" s="16">
        <f>'[6]TableC4(f)'!J$117</f>
        <v>79.15</v>
      </c>
      <c r="K15" s="17">
        <f>'[6]TableC4(f)'!K$117</f>
        <v>53.345</v>
      </c>
      <c r="L15" s="19"/>
      <c r="M15" s="19"/>
      <c r="N15" s="19"/>
      <c r="O15" s="19"/>
    </row>
    <row r="16" spans="1:15" ht="15">
      <c r="A16" s="57">
        <v>1932</v>
      </c>
      <c r="B16" s="16">
        <f t="shared" si="0"/>
        <v>320.232</v>
      </c>
      <c r="C16" s="16">
        <f>'[6]TableC4(f)'!C$122</f>
        <v>38.585</v>
      </c>
      <c r="D16" s="16">
        <f>'[6]TableC4(f)'!D$122</f>
        <v>7.589</v>
      </c>
      <c r="E16" s="16">
        <f>'[6]TableC4(f)'!E$122</f>
        <v>15.171</v>
      </c>
      <c r="F16" s="16">
        <f>'[6]TableC4(f)'!F$122</f>
        <v>15.947</v>
      </c>
      <c r="G16" s="16">
        <f>'[6]TableC4(f)'!G$122</f>
        <v>21.295</v>
      </c>
      <c r="H16" s="16">
        <f>'[6]TableC4(f)'!H$122</f>
        <v>33.752</v>
      </c>
      <c r="I16" s="16">
        <f>'[6]TableC4(f)'!I$122</f>
        <v>55.449</v>
      </c>
      <c r="J16" s="16">
        <f>'[6]TableC4(f)'!J$122</f>
        <v>78.584</v>
      </c>
      <c r="K16" s="17">
        <f>'[6]TableC4(f)'!K$122</f>
        <v>53.86</v>
      </c>
      <c r="L16" s="19"/>
      <c r="M16" s="19"/>
      <c r="N16" s="19"/>
      <c r="O16" s="19"/>
    </row>
    <row r="17" spans="1:15" ht="15">
      <c r="A17" s="57">
        <v>1937</v>
      </c>
      <c r="B17" s="16">
        <f t="shared" si="0"/>
        <v>300.862</v>
      </c>
      <c r="C17" s="16">
        <f>'[6]TableC4(f)'!C$127</f>
        <v>28.035</v>
      </c>
      <c r="D17" s="16">
        <f>'[6]TableC4(f)'!D$127</f>
        <v>6.289</v>
      </c>
      <c r="E17" s="16">
        <f>'[6]TableC4(f)'!E$127</f>
        <v>11.776</v>
      </c>
      <c r="F17" s="16">
        <f>'[6]TableC4(f)'!F$127</f>
        <v>14.329</v>
      </c>
      <c r="G17" s="16">
        <f>'[6]TableC4(f)'!G$127</f>
        <v>19.568</v>
      </c>
      <c r="H17" s="16">
        <f>'[6]TableC4(f)'!H$127</f>
        <v>31.969</v>
      </c>
      <c r="I17" s="16">
        <f>'[6]TableC4(f)'!I$127</f>
        <v>53.865</v>
      </c>
      <c r="J17" s="16">
        <f>'[6]TableC4(f)'!J$127</f>
        <v>79.84</v>
      </c>
      <c r="K17" s="17">
        <f>'[6]TableC4(f)'!K$127</f>
        <v>55.191</v>
      </c>
      <c r="L17" s="19"/>
      <c r="M17" s="19"/>
      <c r="N17" s="19"/>
      <c r="O17" s="19"/>
    </row>
    <row r="18" spans="1:15" ht="15">
      <c r="A18" s="18">
        <v>1952</v>
      </c>
      <c r="B18" s="16">
        <f t="shared" si="0"/>
        <v>257.923</v>
      </c>
      <c r="C18" s="16">
        <f>'[6]TableC4(f)'!C$142</f>
        <v>20.258</v>
      </c>
      <c r="D18" s="16">
        <f>'[6]TableC4(f)'!D$142</f>
        <v>1.612</v>
      </c>
      <c r="E18" s="16">
        <f>'[6]TableC4(f)'!E$142</f>
        <v>3.78</v>
      </c>
      <c r="F18" s="16">
        <f>'[6]TableC4(f)'!F$142</f>
        <v>5.132</v>
      </c>
      <c r="G18" s="16">
        <f>'[6]TableC4(f)'!G$142</f>
        <v>12.332</v>
      </c>
      <c r="H18" s="16">
        <f>'[6]TableC4(f)'!H$142</f>
        <v>23.6</v>
      </c>
      <c r="I18" s="16">
        <f>'[6]TableC4(f)'!I$142</f>
        <v>45.121</v>
      </c>
      <c r="J18" s="16">
        <f>'[6]TableC4(f)'!J$142</f>
        <v>80.538</v>
      </c>
      <c r="K18" s="17">
        <f>'[6]TableC4(f)'!K$142</f>
        <v>65.55</v>
      </c>
      <c r="L18" s="19"/>
      <c r="M18" s="19"/>
      <c r="N18" s="19"/>
      <c r="O18" s="19"/>
    </row>
    <row r="19" spans="1:15" ht="15.75" thickBot="1">
      <c r="A19" s="20">
        <v>1992</v>
      </c>
      <c r="B19" s="21">
        <f>SUM(C19:K19)</f>
        <v>250.024</v>
      </c>
      <c r="C19" s="21">
        <f>'[6]TableC4(f)'!C$182</f>
        <v>2.807</v>
      </c>
      <c r="D19" s="21">
        <f>'[6]TableC4(f)'!D$182</f>
        <v>0.993</v>
      </c>
      <c r="E19" s="21">
        <f>'[6]TableC4(f)'!E$182</f>
        <v>2.243</v>
      </c>
      <c r="F19" s="21">
        <f>'[6]TableC4(f)'!F$182</f>
        <v>3.938</v>
      </c>
      <c r="G19" s="21">
        <f>'[6]TableC4(f)'!G$182</f>
        <v>6.612</v>
      </c>
      <c r="H19" s="21">
        <f>'[6]TableC4(f)'!H$182</f>
        <v>11.195</v>
      </c>
      <c r="I19" s="21">
        <f>'[6]TableC4(f)'!I$182</f>
        <v>25.313</v>
      </c>
      <c r="J19" s="21">
        <f>'[6]TableC4(f)'!J$182</f>
        <v>47.598</v>
      </c>
      <c r="K19" s="22">
        <f>'[6]TableC4(f)'!K$182</f>
        <v>149.325</v>
      </c>
      <c r="L19" s="19"/>
      <c r="M19" s="19"/>
      <c r="N19" s="19"/>
      <c r="O19" s="19"/>
    </row>
    <row r="20" spans="1:15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>
      <c r="A21" s="4" t="s">
        <v>119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5">
      <c r="C96" s="19"/>
      <c r="D96" s="19"/>
      <c r="E96" s="19"/>
      <c r="F96" s="19"/>
      <c r="G96" s="19"/>
      <c r="H96" s="19"/>
      <c r="I96" s="19"/>
      <c r="J96" s="19"/>
      <c r="K96" s="19"/>
    </row>
  </sheetData>
  <mergeCells count="2">
    <mergeCell ref="A5:K5"/>
    <mergeCell ref="A7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workbookViewId="0" topLeftCell="A1">
      <selection activeCell="A3" sqref="A3:K25"/>
    </sheetView>
  </sheetViews>
  <sheetFormatPr defaultColWidth="11.625" defaultRowHeight="15.75"/>
  <cols>
    <col min="1" max="11" width="10.625" style="3" customWidth="1"/>
    <col min="12" max="16384" width="11.625" style="3" customWidth="1"/>
  </cols>
  <sheetData>
    <row r="1" spans="2:16" s="2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.75" customHeight="1" thickTop="1">
      <c r="A3" s="173" t="s">
        <v>133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4"/>
      <c r="M3" s="4"/>
      <c r="N3" s="4"/>
      <c r="O3" s="4"/>
      <c r="P3" s="4"/>
    </row>
    <row r="4" spans="1:16" ht="15">
      <c r="A4" s="5"/>
      <c r="B4" s="6"/>
      <c r="C4" s="7"/>
      <c r="D4" s="7"/>
      <c r="E4" s="7"/>
      <c r="F4" s="7"/>
      <c r="G4" s="7"/>
      <c r="H4" s="7"/>
      <c r="I4" s="7"/>
      <c r="J4" s="7"/>
      <c r="K4" s="8"/>
      <c r="L4" s="4"/>
      <c r="M4" s="4"/>
      <c r="N4" s="4"/>
      <c r="O4" s="4"/>
      <c r="P4" s="4"/>
    </row>
    <row r="5" spans="1:16" ht="15">
      <c r="A5" s="17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11"/>
      <c r="M5" s="4"/>
      <c r="N5" s="4"/>
      <c r="O5" s="4"/>
      <c r="P5" s="4"/>
    </row>
    <row r="6" spans="1:16" s="2" customFormat="1" ht="30" customHeight="1">
      <c r="A6" s="180"/>
      <c r="B6" s="12" t="s">
        <v>11</v>
      </c>
      <c r="C6" s="12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4"/>
      <c r="M6" s="1"/>
      <c r="N6" s="1"/>
      <c r="O6" s="1"/>
      <c r="P6" s="1"/>
    </row>
    <row r="7" spans="1:16" s="2" customFormat="1" ht="15">
      <c r="A7" s="15">
        <v>1832</v>
      </c>
      <c r="B7" s="16">
        <f aca="true" t="shared" si="0" ref="B7:B14">SUM(C7:K7)</f>
        <v>938.23</v>
      </c>
      <c r="C7" s="30">
        <f>'TableC2(m)'!C10+'TableC2(f)'!C10</f>
        <v>138.13400000000001</v>
      </c>
      <c r="D7" s="30">
        <f>'TableC2(m)'!D10+'TableC2(f)'!D10</f>
        <v>144.512</v>
      </c>
      <c r="E7" s="30">
        <f>'TableC2(m)'!E10+'TableC2(f)'!E10</f>
        <v>241.441</v>
      </c>
      <c r="F7" s="30">
        <f>'TableC2(m)'!F10+'TableC2(f)'!F10</f>
        <v>183.256</v>
      </c>
      <c r="G7" s="30">
        <f>'TableC2(m)'!G10+'TableC2(f)'!G10</f>
        <v>113.437</v>
      </c>
      <c r="H7" s="30">
        <f>'TableC2(m)'!H10+'TableC2(f)'!H10</f>
        <v>60.477</v>
      </c>
      <c r="I7" s="30">
        <f>'TableC2(m)'!I10+'TableC2(f)'!I10</f>
        <v>36.926</v>
      </c>
      <c r="J7" s="30">
        <f>'TableC2(m)'!J10+'TableC2(f)'!J10</f>
        <v>16.787</v>
      </c>
      <c r="K7" s="46">
        <f>'TableC2(m)'!K10+'TableC2(f)'!K10</f>
        <v>3.26</v>
      </c>
      <c r="L7" s="4"/>
      <c r="M7" s="1"/>
      <c r="N7" s="1"/>
      <c r="O7" s="1"/>
      <c r="P7" s="1"/>
    </row>
    <row r="8" spans="1:16" s="2" customFormat="1" ht="15">
      <c r="A8" s="56">
        <v>1872</v>
      </c>
      <c r="B8" s="16">
        <f t="shared" si="0"/>
        <v>1848.2</v>
      </c>
      <c r="C8" s="30">
        <f>'TableC2(m)'!C11+'TableC2(f)'!C11</f>
        <v>241.785</v>
      </c>
      <c r="D8" s="30">
        <f>'TableC2(m)'!D11+'TableC2(f)'!D11</f>
        <v>260.57000000000005</v>
      </c>
      <c r="E8" s="30">
        <f>'TableC2(m)'!E11+'TableC2(f)'!E11</f>
        <v>400.055</v>
      </c>
      <c r="F8" s="30">
        <f>'TableC2(m)'!F11+'TableC2(f)'!F11</f>
        <v>357.922</v>
      </c>
      <c r="G8" s="30">
        <f>'TableC2(m)'!G11+'TableC2(f)'!G11</f>
        <v>278.31100000000004</v>
      </c>
      <c r="H8" s="30">
        <f>'TableC2(m)'!H11+'TableC2(f)'!H11</f>
        <v>174.164</v>
      </c>
      <c r="I8" s="30">
        <f>'TableC2(m)'!I11+'TableC2(f)'!I11</f>
        <v>91.15799999999999</v>
      </c>
      <c r="J8" s="30">
        <f>'TableC2(m)'!J11+'TableC2(f)'!J11</f>
        <v>37.699</v>
      </c>
      <c r="K8" s="31">
        <f>'TableC2(m)'!K11+'TableC2(f)'!K11</f>
        <v>6.536</v>
      </c>
      <c r="L8" s="4"/>
      <c r="M8" s="1"/>
      <c r="N8" s="1"/>
      <c r="O8" s="1"/>
      <c r="P8" s="1"/>
    </row>
    <row r="9" spans="1:16" s="2" customFormat="1" ht="15">
      <c r="A9" s="56">
        <v>1882</v>
      </c>
      <c r="B9" s="16">
        <v>2269</v>
      </c>
      <c r="C9" s="30">
        <f>'TableC2(m)'!C12+'TableC2(f)'!C12</f>
        <v>296.8348474191105</v>
      </c>
      <c r="D9" s="30">
        <f>'TableC2(m)'!D12+'TableC2(f)'!D12</f>
        <v>319.8968347581431</v>
      </c>
      <c r="E9" s="30">
        <f>'TableC2(m)'!E12+'TableC2(f)'!E12</f>
        <v>491.1399172167514</v>
      </c>
      <c r="F9" s="30">
        <f>'TableC2(m)'!F12+'TableC2(f)'!F12</f>
        <v>439.4140341954334</v>
      </c>
      <c r="G9" s="30">
        <f>'TableC2(m)'!G12+'TableC2(f)'!G12</f>
        <v>341.6771231468456</v>
      </c>
      <c r="H9" s="30">
        <f>'TableC2(m)'!H12+'TableC2(f)'!H12</f>
        <v>213.81783140352775</v>
      </c>
      <c r="I9" s="30">
        <f>'TableC2(m)'!I12+'TableC2(f)'!I12</f>
        <v>111.91294340439346</v>
      </c>
      <c r="J9" s="30">
        <f>'TableC2(m)'!J12+'TableC2(f)'!J12</f>
        <v>46.28234552537604</v>
      </c>
      <c r="K9" s="31">
        <f>'TableC2(m)'!K12+'TableC2(f)'!K12</f>
        <v>8.024122930418786</v>
      </c>
      <c r="L9" s="4"/>
      <c r="M9" s="1"/>
      <c r="N9" s="1"/>
      <c r="O9" s="1"/>
      <c r="P9" s="1"/>
    </row>
    <row r="10" spans="1:16" ht="15">
      <c r="A10" s="57">
        <v>1912</v>
      </c>
      <c r="B10" s="16">
        <f t="shared" si="0"/>
        <v>2837.9479999999994</v>
      </c>
      <c r="C10" s="30">
        <f>'TableC2(m)'!C13+'TableC2(f)'!C13</f>
        <v>327.40099999999995</v>
      </c>
      <c r="D10" s="30">
        <f>'TableC2(m)'!D13+'TableC2(f)'!D13</f>
        <v>393.14099999999996</v>
      </c>
      <c r="E10" s="30">
        <f>'TableC2(m)'!E13+'TableC2(f)'!E13</f>
        <v>631.502</v>
      </c>
      <c r="F10" s="30">
        <f>'TableC2(m)'!F13+'TableC2(f)'!F13</f>
        <v>571.0129999999999</v>
      </c>
      <c r="G10" s="30">
        <f>'TableC2(m)'!G13+'TableC2(f)'!G13</f>
        <v>416.77</v>
      </c>
      <c r="H10" s="30">
        <f>'TableC2(m)'!H13+'TableC2(f)'!H13</f>
        <v>273.501</v>
      </c>
      <c r="I10" s="30">
        <f>'TableC2(m)'!I13+'TableC2(f)'!I13</f>
        <v>147.846</v>
      </c>
      <c r="J10" s="30">
        <f>'TableC2(m)'!J13+'TableC2(f)'!J13</f>
        <v>62.871</v>
      </c>
      <c r="K10" s="31">
        <f>'TableC2(m)'!K13+'TableC2(f)'!K13</f>
        <v>13.902999999999999</v>
      </c>
      <c r="L10" s="4"/>
      <c r="M10" s="19"/>
      <c r="N10" s="19"/>
      <c r="O10" s="19"/>
      <c r="P10" s="19"/>
    </row>
    <row r="11" spans="1:16" ht="15">
      <c r="A11" s="57">
        <v>1922</v>
      </c>
      <c r="B11" s="16">
        <f t="shared" si="0"/>
        <v>2840.9980000000005</v>
      </c>
      <c r="C11" s="30">
        <f>'TableC2(m)'!C14+'TableC2(f)'!C14</f>
        <v>262.93600000000004</v>
      </c>
      <c r="D11" s="30">
        <f>'TableC2(m)'!D14+'TableC2(f)'!D14</f>
        <v>389.92600000000004</v>
      </c>
      <c r="E11" s="30">
        <f>'TableC2(m)'!E14+'TableC2(f)'!E14</f>
        <v>568.8209999999999</v>
      </c>
      <c r="F11" s="30">
        <f>'TableC2(m)'!F14+'TableC2(f)'!F14</f>
        <v>580.389</v>
      </c>
      <c r="G11" s="30">
        <f>'TableC2(m)'!G14+'TableC2(f)'!G14</f>
        <v>465.974</v>
      </c>
      <c r="H11" s="30">
        <f>'TableC2(m)'!H14+'TableC2(f)'!H14</f>
        <v>309.676</v>
      </c>
      <c r="I11" s="30">
        <f>'TableC2(m)'!I14+'TableC2(f)'!I14</f>
        <v>176.235</v>
      </c>
      <c r="J11" s="30">
        <f>'TableC2(m)'!J14+'TableC2(f)'!J14</f>
        <v>71.427</v>
      </c>
      <c r="K11" s="31">
        <f>'TableC2(m)'!K14+'TableC2(f)'!K14</f>
        <v>15.614</v>
      </c>
      <c r="L11" s="19"/>
      <c r="M11" s="19"/>
      <c r="N11" s="19"/>
      <c r="O11" s="19"/>
      <c r="P11" s="19"/>
    </row>
    <row r="12" spans="1:16" ht="15">
      <c r="A12" s="57">
        <v>1927</v>
      </c>
      <c r="B12" s="16">
        <f t="shared" si="0"/>
        <v>2800.61</v>
      </c>
      <c r="C12" s="30">
        <f>'TableC2(m)'!C15+'TableC2(f)'!C15</f>
        <v>265.146</v>
      </c>
      <c r="D12" s="30">
        <f>'TableC2(m)'!D15+'TableC2(f)'!D15</f>
        <v>352.45399999999995</v>
      </c>
      <c r="E12" s="30">
        <f>'TableC2(m)'!E15+'TableC2(f)'!E15</f>
        <v>606.202</v>
      </c>
      <c r="F12" s="30">
        <f>'TableC2(m)'!F15+'TableC2(f)'!F15</f>
        <v>546.225</v>
      </c>
      <c r="G12" s="30">
        <f>'TableC2(m)'!G15+'TableC2(f)'!G15</f>
        <v>452.24199999999996</v>
      </c>
      <c r="H12" s="30">
        <f>'TableC2(m)'!H15+'TableC2(f)'!H15</f>
        <v>309.81399999999996</v>
      </c>
      <c r="I12" s="30">
        <f>'TableC2(m)'!I15+'TableC2(f)'!I15</f>
        <v>178.668</v>
      </c>
      <c r="J12" s="30">
        <f>'TableC2(m)'!J15+'TableC2(f)'!J15</f>
        <v>73.188</v>
      </c>
      <c r="K12" s="31">
        <f>'TableC2(m)'!K15+'TableC2(f)'!K15</f>
        <v>16.671</v>
      </c>
      <c r="L12" s="19"/>
      <c r="M12" s="19"/>
      <c r="N12" s="19"/>
      <c r="O12" s="19"/>
      <c r="P12" s="19"/>
    </row>
    <row r="13" spans="1:16" ht="15">
      <c r="A13" s="57">
        <v>1932</v>
      </c>
      <c r="B13" s="16">
        <f t="shared" si="0"/>
        <v>2781.558</v>
      </c>
      <c r="C13" s="30">
        <f>'TableC2(m)'!C16+'TableC2(f)'!C16</f>
        <v>289.959</v>
      </c>
      <c r="D13" s="30">
        <f>'TableC2(m)'!D16+'TableC2(f)'!D16</f>
        <v>288.344</v>
      </c>
      <c r="E13" s="30">
        <f>'TableC2(m)'!E16+'TableC2(f)'!E16</f>
        <v>583.306</v>
      </c>
      <c r="F13" s="30">
        <f>'TableC2(m)'!F16+'TableC2(f)'!F16</f>
        <v>549.755</v>
      </c>
      <c r="G13" s="30">
        <f>'TableC2(m)'!G16+'TableC2(f)'!G16</f>
        <v>451.955</v>
      </c>
      <c r="H13" s="30">
        <f>'TableC2(m)'!H16+'TableC2(f)'!H16</f>
        <v>328.745</v>
      </c>
      <c r="I13" s="30">
        <f>'TableC2(m)'!I16+'TableC2(f)'!I16</f>
        <v>189.699</v>
      </c>
      <c r="J13" s="30">
        <f>'TableC2(m)'!J16+'TableC2(f)'!J16</f>
        <v>82.041</v>
      </c>
      <c r="K13" s="31">
        <f>'TableC2(m)'!K16+'TableC2(f)'!K16</f>
        <v>17.754</v>
      </c>
      <c r="L13" s="19"/>
      <c r="M13" s="19"/>
      <c r="N13" s="19"/>
      <c r="O13" s="19"/>
      <c r="P13" s="19"/>
    </row>
    <row r="14" spans="1:16" ht="15">
      <c r="A14" s="57">
        <v>1937</v>
      </c>
      <c r="B14" s="16">
        <f t="shared" si="0"/>
        <v>2767.629</v>
      </c>
      <c r="C14" s="30">
        <f>'TableC2(m)'!C17+'TableC2(f)'!C17</f>
        <v>277.009</v>
      </c>
      <c r="D14" s="30">
        <f>'TableC2(m)'!D17+'TableC2(f)'!D17</f>
        <v>286.973</v>
      </c>
      <c r="E14" s="30">
        <f>'TableC2(m)'!E17+'TableC2(f)'!E17</f>
        <v>508.953</v>
      </c>
      <c r="F14" s="30">
        <f>'TableC2(m)'!F17+'TableC2(f)'!F17</f>
        <v>579.935</v>
      </c>
      <c r="G14" s="30">
        <f>'TableC2(m)'!G17+'TableC2(f)'!G17</f>
        <v>454.10699999999997</v>
      </c>
      <c r="H14" s="30">
        <f>'TableC2(m)'!H17+'TableC2(f)'!H17</f>
        <v>342.635</v>
      </c>
      <c r="I14" s="30">
        <f>'TableC2(m)'!I17+'TableC2(f)'!I17</f>
        <v>204.189</v>
      </c>
      <c r="J14" s="30">
        <f>'TableC2(m)'!J17+'TableC2(f)'!J17</f>
        <v>93.044</v>
      </c>
      <c r="K14" s="31">
        <f>'TableC2(m)'!K17+'TableC2(f)'!K17</f>
        <v>20.784</v>
      </c>
      <c r="L14" s="19"/>
      <c r="M14" s="19"/>
      <c r="N14" s="19"/>
      <c r="O14" s="19"/>
      <c r="P14" s="19"/>
    </row>
    <row r="15" spans="1:16" ht="15">
      <c r="A15" s="18">
        <v>1952</v>
      </c>
      <c r="B15" s="47">
        <v>2850.589</v>
      </c>
      <c r="D15" s="16"/>
      <c r="E15" s="16"/>
      <c r="F15" s="16"/>
      <c r="G15" s="16"/>
      <c r="H15" s="16"/>
      <c r="I15" s="16"/>
      <c r="J15" s="16"/>
      <c r="K15" s="17"/>
      <c r="L15" s="19"/>
      <c r="M15" s="19"/>
      <c r="N15" s="19"/>
      <c r="O15" s="19"/>
      <c r="P15" s="19"/>
    </row>
    <row r="16" spans="1:16" ht="15.75" thickBot="1">
      <c r="A16" s="20">
        <v>1992</v>
      </c>
      <c r="B16" s="48">
        <v>2126.451</v>
      </c>
      <c r="C16" s="21"/>
      <c r="D16" s="21"/>
      <c r="E16" s="21"/>
      <c r="F16" s="21"/>
      <c r="G16" s="21"/>
      <c r="H16" s="21"/>
      <c r="I16" s="21"/>
      <c r="J16" s="21"/>
      <c r="K16" s="22"/>
      <c r="L16" s="19"/>
      <c r="M16" s="19"/>
      <c r="N16" s="19"/>
      <c r="O16" s="19"/>
      <c r="P16" s="19"/>
    </row>
    <row r="17" spans="1:16" ht="15.75" thickTop="1">
      <c r="A17" s="138" t="s">
        <v>139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40"/>
      <c r="M17" s="19"/>
      <c r="N17" s="19"/>
      <c r="O17" s="19"/>
      <c r="P17" s="19"/>
    </row>
    <row r="18" spans="1:16" ht="15">
      <c r="A18" s="141" t="s">
        <v>74</v>
      </c>
      <c r="B18" s="97"/>
      <c r="C18" s="97"/>
      <c r="D18" s="97"/>
      <c r="E18" s="97"/>
      <c r="F18" s="97"/>
      <c r="G18" s="97"/>
      <c r="H18" s="97"/>
      <c r="I18" s="97"/>
      <c r="J18" s="97"/>
      <c r="K18" s="142"/>
      <c r="M18" s="19"/>
      <c r="N18" s="19"/>
      <c r="O18" s="19"/>
      <c r="P18" s="19"/>
    </row>
    <row r="19" spans="1:16" ht="15">
      <c r="A19" s="141" t="s">
        <v>75</v>
      </c>
      <c r="B19" s="97"/>
      <c r="C19" s="97"/>
      <c r="D19" s="97"/>
      <c r="E19" s="97"/>
      <c r="F19" s="97"/>
      <c r="G19" s="97"/>
      <c r="H19" s="97"/>
      <c r="I19" s="97"/>
      <c r="J19" s="97"/>
      <c r="K19" s="142"/>
      <c r="M19" s="19"/>
      <c r="N19" s="19"/>
      <c r="O19" s="19"/>
      <c r="P19" s="19"/>
    </row>
    <row r="20" spans="1:16" ht="15">
      <c r="A20" s="35" t="s">
        <v>132</v>
      </c>
      <c r="B20" s="97"/>
      <c r="C20" s="97"/>
      <c r="D20" s="97"/>
      <c r="E20" s="97"/>
      <c r="F20" s="97"/>
      <c r="G20" s="97"/>
      <c r="H20" s="97"/>
      <c r="I20" s="97"/>
      <c r="J20" s="97"/>
      <c r="K20" s="142"/>
      <c r="M20" s="19"/>
      <c r="N20" s="19"/>
      <c r="O20" s="19"/>
      <c r="P20" s="19"/>
    </row>
    <row r="21" spans="1:14" ht="15">
      <c r="A21" s="141" t="s">
        <v>76</v>
      </c>
      <c r="B21" s="97"/>
      <c r="C21" s="97"/>
      <c r="D21" s="97"/>
      <c r="E21" s="97"/>
      <c r="F21" s="97"/>
      <c r="G21" s="97"/>
      <c r="H21" s="97"/>
      <c r="I21" s="97"/>
      <c r="J21" s="97"/>
      <c r="K21" s="142"/>
      <c r="M21" s="19"/>
      <c r="N21" s="19"/>
    </row>
    <row r="22" spans="1:14" ht="15">
      <c r="A22" s="141" t="s">
        <v>77</v>
      </c>
      <c r="B22" s="97"/>
      <c r="C22" s="97"/>
      <c r="D22" s="97"/>
      <c r="E22" s="97"/>
      <c r="F22" s="97"/>
      <c r="G22" s="97"/>
      <c r="H22" s="97"/>
      <c r="I22" s="97"/>
      <c r="J22" s="97"/>
      <c r="K22" s="142"/>
      <c r="M22" s="19"/>
      <c r="N22" s="19"/>
    </row>
    <row r="23" spans="1:14" ht="15">
      <c r="A23" s="141" t="s">
        <v>78</v>
      </c>
      <c r="B23" s="97"/>
      <c r="C23" s="97"/>
      <c r="D23" s="97"/>
      <c r="E23" s="97"/>
      <c r="F23" s="97"/>
      <c r="G23" s="97"/>
      <c r="H23" s="97"/>
      <c r="I23" s="97"/>
      <c r="J23" s="97"/>
      <c r="K23" s="142"/>
      <c r="M23" s="19"/>
      <c r="N23" s="19"/>
    </row>
    <row r="24" spans="1:14" ht="15">
      <c r="A24" s="141" t="s">
        <v>88</v>
      </c>
      <c r="B24" s="97"/>
      <c r="C24" s="97"/>
      <c r="D24" s="97"/>
      <c r="E24" s="97"/>
      <c r="F24" s="97"/>
      <c r="G24" s="97"/>
      <c r="H24" s="97"/>
      <c r="I24" s="97"/>
      <c r="J24" s="97"/>
      <c r="K24" s="142"/>
      <c r="M24" s="19"/>
      <c r="N24" s="19"/>
    </row>
    <row r="25" spans="1:14" ht="15.75" thickBot="1">
      <c r="A25" s="143" t="s">
        <v>89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5"/>
      <c r="M25" s="19"/>
      <c r="N25" s="19"/>
    </row>
    <row r="26" spans="1:14" ht="15.75" thickTop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M26" s="19"/>
      <c r="N26" s="19"/>
    </row>
    <row r="27" spans="1:14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M27" s="19"/>
      <c r="N27" s="19"/>
    </row>
    <row r="28" spans="1:14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19"/>
      <c r="N38" s="19"/>
    </row>
    <row r="39" spans="1:14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M39" s="19"/>
      <c r="N39" s="19"/>
    </row>
    <row r="40" spans="1:14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M40" s="19"/>
      <c r="N40" s="19"/>
    </row>
    <row r="41" spans="1:14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M41" s="19"/>
      <c r="N41" s="19"/>
    </row>
    <row r="42" spans="1:14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M42" s="19"/>
      <c r="N42" s="19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M43" s="19"/>
      <c r="N43" s="19"/>
    </row>
    <row r="44" spans="1:14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M44" s="19"/>
      <c r="N44" s="19"/>
    </row>
    <row r="45" spans="1:14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M45" s="19"/>
      <c r="N45" s="19"/>
    </row>
    <row r="46" spans="1:14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M46" s="19"/>
      <c r="N46" s="19"/>
    </row>
    <row r="47" spans="1:14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M47" s="19"/>
      <c r="N47" s="19"/>
    </row>
    <row r="48" spans="1:14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M48" s="19"/>
      <c r="N48" s="19"/>
    </row>
    <row r="49" spans="1:14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M49" s="19"/>
      <c r="N49" s="19"/>
    </row>
    <row r="50" spans="1:14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M50" s="19"/>
      <c r="N50" s="19"/>
    </row>
    <row r="51" spans="1:14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M51" s="19"/>
      <c r="N51" s="19"/>
    </row>
    <row r="52" spans="1:14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M52" s="19"/>
      <c r="N52" s="19"/>
    </row>
    <row r="53" spans="1:14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M53" s="19"/>
      <c r="N53" s="19"/>
    </row>
    <row r="54" spans="1:14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M55" s="19"/>
      <c r="N55" s="19"/>
    </row>
    <row r="56" spans="1:14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M57" s="19"/>
      <c r="N57" s="19"/>
    </row>
    <row r="58" spans="1:14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M68" s="19"/>
      <c r="N68" s="19"/>
    </row>
    <row r="69" spans="1:14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M69" s="19"/>
      <c r="N69" s="19"/>
    </row>
    <row r="70" spans="1:14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M70" s="19"/>
      <c r="N70" s="19"/>
    </row>
    <row r="71" spans="1:14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M71" s="19"/>
      <c r="N71" s="19"/>
    </row>
    <row r="72" spans="1:14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M72" s="19"/>
      <c r="N72" s="19"/>
    </row>
    <row r="73" spans="1:14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M73" s="19"/>
      <c r="N73" s="19"/>
    </row>
    <row r="74" spans="1:14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M74" s="19"/>
      <c r="N74" s="19"/>
    </row>
    <row r="75" spans="1:14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M75" s="19"/>
      <c r="N75" s="19"/>
    </row>
    <row r="76" spans="1:14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M76" s="19"/>
      <c r="N76" s="19"/>
    </row>
    <row r="77" spans="1:14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M77" s="19"/>
      <c r="N77" s="19"/>
    </row>
    <row r="78" spans="1:14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M78" s="19"/>
      <c r="N78" s="19"/>
    </row>
    <row r="79" spans="3:11" ht="1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</sheetData>
  <mergeCells count="2">
    <mergeCell ref="A3:K3"/>
    <mergeCell ref="A5:A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workbookViewId="0" topLeftCell="A1">
      <selection activeCell="A3" sqref="A3:K17"/>
    </sheetView>
  </sheetViews>
  <sheetFormatPr defaultColWidth="11.625" defaultRowHeight="15.75"/>
  <cols>
    <col min="1" max="11" width="10.625" style="3" customWidth="1"/>
    <col min="12" max="16384" width="11.625" style="3" customWidth="1"/>
  </cols>
  <sheetData>
    <row r="1" spans="1:16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.75" customHeight="1" thickTop="1">
      <c r="A3" s="173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4"/>
      <c r="M3" s="4"/>
      <c r="N3" s="4"/>
      <c r="O3" s="4"/>
      <c r="P3" s="4"/>
    </row>
    <row r="4" spans="1:16" ht="15">
      <c r="A4" s="5"/>
      <c r="B4" s="6"/>
      <c r="C4" s="7"/>
      <c r="D4" s="7"/>
      <c r="E4" s="7"/>
      <c r="F4" s="7"/>
      <c r="G4" s="7"/>
      <c r="H4" s="7"/>
      <c r="I4" s="7"/>
      <c r="J4" s="7"/>
      <c r="K4" s="8"/>
      <c r="L4" s="4"/>
      <c r="M4" s="4"/>
      <c r="N4" s="4"/>
      <c r="O4" s="4"/>
      <c r="P4" s="4"/>
    </row>
    <row r="5" spans="1:16" ht="15">
      <c r="A5" s="17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11"/>
      <c r="M5" s="4"/>
      <c r="N5" s="4"/>
      <c r="O5" s="4"/>
      <c r="P5" s="4"/>
    </row>
    <row r="6" spans="1:16" s="2" customFormat="1" ht="30" customHeight="1">
      <c r="A6" s="180"/>
      <c r="B6" s="12" t="s">
        <v>11</v>
      </c>
      <c r="C6" s="12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4"/>
      <c r="M6" s="1"/>
      <c r="N6" s="1"/>
      <c r="O6" s="1"/>
      <c r="P6" s="1"/>
    </row>
    <row r="7" spans="1:16" s="2" customFormat="1" ht="15">
      <c r="A7" s="15">
        <v>1832</v>
      </c>
      <c r="B7" s="16">
        <f>'TableC3(m)'!B10+'TableC3(f)'!B10</f>
        <v>32695.574000000004</v>
      </c>
      <c r="C7" s="16">
        <f>'TableC3(m)'!C10+'TableC3(f)'!C10</f>
        <v>7035.628000000001</v>
      </c>
      <c r="D7" s="16">
        <f>'TableC3(m)'!D10+'TableC3(f)'!D10</f>
        <v>5890.072</v>
      </c>
      <c r="E7" s="16">
        <f>'TableC3(m)'!E10+'TableC3(f)'!E10</f>
        <v>5342.597</v>
      </c>
      <c r="F7" s="16">
        <f>'TableC3(m)'!F10+'TableC3(f)'!F10</f>
        <v>4676.067999999999</v>
      </c>
      <c r="G7" s="16">
        <f>'TableC3(m)'!G10+'TableC3(f)'!G10</f>
        <v>3786.2799999999997</v>
      </c>
      <c r="H7" s="16">
        <f>'TableC3(m)'!H10+'TableC3(f)'!H10</f>
        <v>2863.571</v>
      </c>
      <c r="I7" s="16">
        <f>'TableC3(m)'!I10+'TableC3(f)'!I10</f>
        <v>1906.5549999999998</v>
      </c>
      <c r="J7" s="16">
        <f>'TableC3(m)'!J10+'TableC3(f)'!J10</f>
        <v>969.227</v>
      </c>
      <c r="K7" s="17">
        <f>'TableC3(m)'!K10+'TableC3(f)'!K10</f>
        <v>225.57600000000002</v>
      </c>
      <c r="L7" s="4"/>
      <c r="M7" s="1"/>
      <c r="N7" s="1"/>
      <c r="O7" s="1"/>
      <c r="P7" s="1"/>
    </row>
    <row r="8" spans="1:16" s="2" customFormat="1" ht="15">
      <c r="A8" s="56">
        <v>1872</v>
      </c>
      <c r="B8" s="16">
        <f>'TableC3(m)'!B11+'TableC3(f)'!B11</f>
        <v>36376.077</v>
      </c>
      <c r="C8" s="16">
        <f>'TableC3(m)'!C11+'TableC3(f)'!C11</f>
        <v>7070.205</v>
      </c>
      <c r="D8" s="16">
        <f>'TableC3(m)'!D11+'TableC3(f)'!D11</f>
        <v>6173.844</v>
      </c>
      <c r="E8" s="16">
        <f>'TableC3(m)'!E11+'TableC3(f)'!E11</f>
        <v>5614.906</v>
      </c>
      <c r="F8" s="16">
        <f>'TableC3(m)'!F11+'TableC3(f)'!F11</f>
        <v>5097.282</v>
      </c>
      <c r="G8" s="16">
        <f>'TableC3(m)'!G11+'TableC3(f)'!G11</f>
        <v>4569.799</v>
      </c>
      <c r="H8" s="16">
        <f>'TableC3(m)'!H11+'TableC3(f)'!H11</f>
        <v>3592.313</v>
      </c>
      <c r="I8" s="16">
        <f>'TableC3(m)'!I11+'TableC3(f)'!I11</f>
        <v>2630.957</v>
      </c>
      <c r="J8" s="16">
        <f>'TableC3(m)'!J11+'TableC3(f)'!J11</f>
        <v>1333.571</v>
      </c>
      <c r="K8" s="17">
        <f>'TableC3(m)'!K11+'TableC3(f)'!K11</f>
        <v>293.20000000000005</v>
      </c>
      <c r="L8" s="4"/>
      <c r="M8" s="1"/>
      <c r="N8" s="1"/>
      <c r="O8" s="1"/>
      <c r="P8" s="1"/>
    </row>
    <row r="9" spans="1:16" s="2" customFormat="1" ht="15">
      <c r="A9" s="56">
        <v>1882</v>
      </c>
      <c r="B9" s="16">
        <f>'TableC3(m)'!B12+'TableC3(f)'!B12</f>
        <v>37476.505</v>
      </c>
      <c r="C9" s="16">
        <f>'TableC3(m)'!C12+'TableC3(f)'!C12</f>
        <v>7008.799000000001</v>
      </c>
      <c r="D9" s="16">
        <f>'TableC3(m)'!D12+'TableC3(f)'!D12</f>
        <v>6504.026</v>
      </c>
      <c r="E9" s="16">
        <f>'TableC3(m)'!E12+'TableC3(f)'!E12</f>
        <v>5745.928</v>
      </c>
      <c r="F9" s="16">
        <f>'TableC3(m)'!F12+'TableC3(f)'!F12</f>
        <v>5168.589</v>
      </c>
      <c r="G9" s="16">
        <f>'TableC3(m)'!G12+'TableC3(f)'!G12</f>
        <v>4606.249</v>
      </c>
      <c r="H9" s="16">
        <f>'TableC3(m)'!H12+'TableC3(f)'!H12</f>
        <v>3930.953</v>
      </c>
      <c r="I9" s="16">
        <f>'TableC3(m)'!I12+'TableC3(f)'!I12</f>
        <v>2759.304</v>
      </c>
      <c r="J9" s="16">
        <f>'TableC3(m)'!J12+'TableC3(f)'!J12</f>
        <v>1425.098</v>
      </c>
      <c r="K9" s="17">
        <f>'TableC3(m)'!K12+'TableC3(f)'!K12</f>
        <v>327.559</v>
      </c>
      <c r="L9" s="4"/>
      <c r="M9" s="1"/>
      <c r="N9" s="1"/>
      <c r="O9" s="1"/>
      <c r="P9" s="1"/>
    </row>
    <row r="10" spans="1:16" ht="15">
      <c r="A10" s="57">
        <v>1912</v>
      </c>
      <c r="B10" s="16">
        <f>'TableC3(m)'!B13+'TableC3(f)'!B13</f>
        <v>39229.435</v>
      </c>
      <c r="C10" s="16">
        <f>'TableC3(m)'!C13+'TableC3(f)'!C13</f>
        <v>6594.916</v>
      </c>
      <c r="D10" s="16">
        <f>'TableC3(m)'!D13+'TableC3(f)'!D13</f>
        <v>6524.421</v>
      </c>
      <c r="E10" s="16">
        <f>'TableC3(m)'!E13+'TableC3(f)'!E13</f>
        <v>6164.934</v>
      </c>
      <c r="F10" s="16">
        <f>'TableC3(m)'!F13+'TableC3(f)'!F13</f>
        <v>5883.646</v>
      </c>
      <c r="G10" s="16">
        <f>'TableC3(m)'!G13+'TableC3(f)'!G13</f>
        <v>4945.505</v>
      </c>
      <c r="H10" s="16">
        <f>'TableC3(m)'!H13+'TableC3(f)'!H13</f>
        <v>4080.725</v>
      </c>
      <c r="I10" s="16">
        <f>'TableC3(m)'!I13+'TableC3(f)'!I13</f>
        <v>3044.147</v>
      </c>
      <c r="J10" s="16">
        <f>'TableC3(m)'!J13+'TableC3(f)'!J13</f>
        <v>1593.942</v>
      </c>
      <c r="K10" s="17">
        <f>'TableC3(m)'!K13+'TableC3(f)'!K13</f>
        <v>397.19899999999996</v>
      </c>
      <c r="L10" s="4"/>
      <c r="M10" s="19"/>
      <c r="N10" s="19"/>
      <c r="O10" s="19"/>
      <c r="P10" s="19"/>
    </row>
    <row r="11" spans="1:16" ht="15">
      <c r="A11" s="57">
        <v>1922</v>
      </c>
      <c r="B11" s="16">
        <f>'TableC3(m)'!B14+'TableC3(f)'!B14</f>
        <v>38978.39</v>
      </c>
      <c r="C11" s="16">
        <f>'TableC3(m)'!C14+'TableC3(f)'!C14</f>
        <v>5375.988</v>
      </c>
      <c r="D11" s="16">
        <f>'TableC3(m)'!D14+'TableC3(f)'!D14</f>
        <v>6792.487</v>
      </c>
      <c r="E11" s="16">
        <f>'TableC3(m)'!E14+'TableC3(f)'!E14</f>
        <v>5964.037</v>
      </c>
      <c r="F11" s="16">
        <f>'TableC3(m)'!F14+'TableC3(f)'!F14</f>
        <v>5522.969</v>
      </c>
      <c r="G11" s="16">
        <f>'TableC3(m)'!G14+'TableC3(f)'!G14</f>
        <v>5442.411</v>
      </c>
      <c r="H11" s="16">
        <f>'TableC3(m)'!H14+'TableC3(f)'!H14</f>
        <v>4434.032999999999</v>
      </c>
      <c r="I11" s="16">
        <f>'TableC3(m)'!I14+'TableC3(f)'!I14</f>
        <v>3267.8379999999997</v>
      </c>
      <c r="J11" s="16">
        <f>'TableC3(m)'!J14+'TableC3(f)'!J14</f>
        <v>1745.691</v>
      </c>
      <c r="K11" s="17">
        <f>'TableC3(m)'!K14+'TableC3(f)'!K14</f>
        <v>432.936</v>
      </c>
      <c r="L11" s="19"/>
      <c r="M11" s="19"/>
      <c r="N11" s="19"/>
      <c r="O11" s="19"/>
      <c r="P11" s="19"/>
    </row>
    <row r="12" spans="1:16" ht="15">
      <c r="A12" s="57">
        <v>1927</v>
      </c>
      <c r="B12" s="16">
        <f>'TableC3(m)'!B15+'TableC3(f)'!B15</f>
        <v>40404.173</v>
      </c>
      <c r="C12" s="16">
        <f>'TableC3(m)'!C15+'TableC3(f)'!C15</f>
        <v>6162.755999999999</v>
      </c>
      <c r="D12" s="16">
        <f>'TableC3(m)'!D15+'TableC3(f)'!D15</f>
        <v>6154.539</v>
      </c>
      <c r="E12" s="16">
        <f>'TableC3(m)'!E15+'TableC3(f)'!E15</f>
        <v>6748.77</v>
      </c>
      <c r="F12" s="16">
        <f>'TableC3(m)'!F15+'TableC3(f)'!F15</f>
        <v>5669.389999999999</v>
      </c>
      <c r="G12" s="16">
        <f>'TableC3(m)'!G15+'TableC3(f)'!G15</f>
        <v>5327.93</v>
      </c>
      <c r="H12" s="16">
        <f>'TableC3(m)'!H15+'TableC3(f)'!H15</f>
        <v>4657.978999999999</v>
      </c>
      <c r="I12" s="16">
        <f>'TableC3(m)'!I15+'TableC3(f)'!I15</f>
        <v>3442.1710000000003</v>
      </c>
      <c r="J12" s="16">
        <f>'TableC3(m)'!J15+'TableC3(f)'!J15</f>
        <v>1781.871</v>
      </c>
      <c r="K12" s="17">
        <f>'TableC3(m)'!K15+'TableC3(f)'!K15</f>
        <v>458.767</v>
      </c>
      <c r="L12" s="19"/>
      <c r="M12" s="19"/>
      <c r="N12" s="19"/>
      <c r="O12" s="19"/>
      <c r="P12" s="19"/>
    </row>
    <row r="13" spans="1:16" ht="15">
      <c r="A13" s="57">
        <v>1932</v>
      </c>
      <c r="B13" s="16">
        <f>'TableC3(m)'!B16+'TableC3(f)'!B16</f>
        <v>41260.617000000006</v>
      </c>
      <c r="C13" s="16">
        <f>'TableC3(m)'!C16+'TableC3(f)'!C16</f>
        <v>6912.8369999999995</v>
      </c>
      <c r="D13" s="16">
        <f>'TableC3(m)'!D16+'TableC3(f)'!D16</f>
        <v>5467.754</v>
      </c>
      <c r="E13" s="16">
        <f>'TableC3(m)'!E16+'TableC3(f)'!E16</f>
        <v>6771.242</v>
      </c>
      <c r="F13" s="16">
        <f>'TableC3(m)'!F16+'TableC3(f)'!F16</f>
        <v>6174.241</v>
      </c>
      <c r="G13" s="16">
        <f>'TableC3(m)'!G16+'TableC3(f)'!G16</f>
        <v>5259.088</v>
      </c>
      <c r="H13" s="16">
        <f>'TableC3(m)'!H16+'TableC3(f)'!H16</f>
        <v>4812.110000000001</v>
      </c>
      <c r="I13" s="16">
        <f>'TableC3(m)'!I16+'TableC3(f)'!I16</f>
        <v>3492.429</v>
      </c>
      <c r="J13" s="16">
        <f>'TableC3(m)'!J16+'TableC3(f)'!J16</f>
        <v>1883.893</v>
      </c>
      <c r="K13" s="17">
        <f>'TableC3(m)'!K16+'TableC3(f)'!K16</f>
        <v>487.023</v>
      </c>
      <c r="L13" s="19"/>
      <c r="M13" s="19"/>
      <c r="N13" s="19"/>
      <c r="O13" s="19"/>
      <c r="P13" s="19"/>
    </row>
    <row r="14" spans="1:16" ht="15">
      <c r="A14" s="57">
        <v>1937</v>
      </c>
      <c r="B14" s="16">
        <f>'TableC3(m)'!B17+'TableC3(f)'!B17</f>
        <v>41198.023</v>
      </c>
      <c r="C14" s="16">
        <f>'TableC3(m)'!C17+'TableC3(f)'!C17</f>
        <v>6439.388000000001</v>
      </c>
      <c r="D14" s="16">
        <f>'TableC3(m)'!D17+'TableC3(f)'!D17</f>
        <v>6101.545</v>
      </c>
      <c r="E14" s="16">
        <f>'TableC3(m)'!E17+'TableC3(f)'!E17</f>
        <v>5928.4400000000005</v>
      </c>
      <c r="F14" s="16">
        <f>'TableC3(m)'!F17+'TableC3(f)'!F17</f>
        <v>6567.349</v>
      </c>
      <c r="G14" s="16">
        <f>'TableC3(m)'!G17+'TableC3(f)'!G17</f>
        <v>5250.816000000001</v>
      </c>
      <c r="H14" s="16">
        <f>'TableC3(m)'!H17+'TableC3(f)'!H17</f>
        <v>4683.718000000001</v>
      </c>
      <c r="I14" s="16">
        <f>'TableC3(m)'!I17+'TableC3(f)'!I17</f>
        <v>3678.451</v>
      </c>
      <c r="J14" s="16">
        <f>'TableC3(m)'!J17+'TableC3(f)'!J17</f>
        <v>2022.138</v>
      </c>
      <c r="K14" s="17">
        <f>'TableC3(m)'!K17+'TableC3(f)'!K17</f>
        <v>526.178</v>
      </c>
      <c r="L14" s="19"/>
      <c r="M14" s="19"/>
      <c r="N14" s="19"/>
      <c r="O14" s="19"/>
      <c r="P14" s="19"/>
    </row>
    <row r="15" spans="1:16" ht="15">
      <c r="A15" s="18">
        <v>1952</v>
      </c>
      <c r="B15" s="16">
        <f>'TableC3(m)'!B18+'TableC3(f)'!B18</f>
        <v>42300.981</v>
      </c>
      <c r="C15" s="16">
        <f>'TableC3(m)'!C18+'TableC3(f)'!C18</f>
        <v>7135.1720000000005</v>
      </c>
      <c r="D15" s="16">
        <f>'TableC3(m)'!D18+'TableC3(f)'!D18</f>
        <v>5718.82</v>
      </c>
      <c r="E15" s="16">
        <f>'TableC3(m)'!E18+'TableC3(f)'!E18</f>
        <v>6445.147</v>
      </c>
      <c r="F15" s="16">
        <f>'TableC3(m)'!F18+'TableC3(f)'!F18</f>
        <v>4994.442999999999</v>
      </c>
      <c r="G15" s="16">
        <f>'TableC3(m)'!G18+'TableC3(f)'!G18</f>
        <v>6071.159</v>
      </c>
      <c r="H15" s="16">
        <f>'TableC3(m)'!H18+'TableC3(f)'!H18</f>
        <v>5081.278</v>
      </c>
      <c r="I15" s="16">
        <f>'TableC3(m)'!I18+'TableC3(f)'!I18</f>
        <v>3793.9930000000004</v>
      </c>
      <c r="J15" s="16">
        <f>'TableC3(m)'!J18+'TableC3(f)'!J18</f>
        <v>2390.567</v>
      </c>
      <c r="K15" s="17">
        <f>'TableC3(m)'!K18+'TableC3(f)'!K18</f>
        <v>670.402</v>
      </c>
      <c r="L15" s="19"/>
      <c r="M15" s="19"/>
      <c r="N15" s="19"/>
      <c r="O15" s="19"/>
      <c r="P15" s="19"/>
    </row>
    <row r="16" spans="1:16" ht="15.75" thickBot="1">
      <c r="A16" s="20">
        <v>1992</v>
      </c>
      <c r="B16" s="21">
        <f>'TableC3(m)'!B19+'TableC3(f)'!B19</f>
        <v>57110.53300000001</v>
      </c>
      <c r="C16" s="21">
        <f>'TableC3(m)'!C19+'TableC3(f)'!C19</f>
        <v>7574.679</v>
      </c>
      <c r="D16" s="21">
        <f>'TableC3(m)'!D19+'TableC3(f)'!D19</f>
        <v>7898.836</v>
      </c>
      <c r="E16" s="21">
        <f>'TableC3(m)'!E19+'TableC3(f)'!E19</f>
        <v>8591.484</v>
      </c>
      <c r="F16" s="21">
        <f>'TableC3(m)'!F19+'TableC3(f)'!F19</f>
        <v>8571.988000000001</v>
      </c>
      <c r="G16" s="21">
        <f>'TableC3(m)'!G19+'TableC3(f)'!G19</f>
        <v>7618.971</v>
      </c>
      <c r="H16" s="21">
        <f>'TableC3(m)'!H19+'TableC3(f)'!H19</f>
        <v>5723.714</v>
      </c>
      <c r="I16" s="21">
        <f>'TableC3(m)'!I19+'TableC3(f)'!I19</f>
        <v>5603.302</v>
      </c>
      <c r="J16" s="21">
        <f>'TableC3(m)'!J19+'TableC3(f)'!J19</f>
        <v>3322.37</v>
      </c>
      <c r="K16" s="22">
        <f>'TableC3(m)'!K19+'TableC3(f)'!K19</f>
        <v>2205.1890000000003</v>
      </c>
      <c r="L16" s="19"/>
      <c r="M16" s="19"/>
      <c r="N16" s="19"/>
      <c r="O16" s="19"/>
      <c r="P16" s="19"/>
    </row>
    <row r="17" spans="1:16" ht="16.5" thickBot="1" thickTop="1">
      <c r="A17" s="146" t="s">
        <v>137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M17" s="19"/>
      <c r="N17" s="19"/>
      <c r="O17" s="19"/>
      <c r="P17" s="19"/>
    </row>
    <row r="18" spans="1:16" ht="15.75" thickTop="1">
      <c r="A18" s="1"/>
      <c r="B18" s="19"/>
      <c r="C18" s="19"/>
      <c r="D18" s="19"/>
      <c r="E18" s="19"/>
      <c r="F18" s="19"/>
      <c r="G18" s="19"/>
      <c r="H18" s="19"/>
      <c r="I18" s="19"/>
      <c r="J18" s="19"/>
      <c r="K18" s="19"/>
      <c r="M18" s="19"/>
      <c r="N18" s="19"/>
      <c r="O18" s="19"/>
      <c r="P18" s="19"/>
    </row>
    <row r="19" spans="1:16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M19" s="19"/>
      <c r="N19" s="19"/>
      <c r="O19" s="19"/>
      <c r="P19" s="19"/>
    </row>
    <row r="20" spans="1:16" ht="1.5" customHeight="1">
      <c r="A20" s="19"/>
      <c r="B20" s="19"/>
      <c r="C20" s="19">
        <v>4.5</v>
      </c>
      <c r="D20" s="19">
        <v>14.5</v>
      </c>
      <c r="E20" s="19">
        <v>24.5</v>
      </c>
      <c r="F20" s="19">
        <v>34.5</v>
      </c>
      <c r="G20" s="19">
        <v>44.5</v>
      </c>
      <c r="H20" s="19">
        <v>54.5</v>
      </c>
      <c r="I20" s="19">
        <v>64.5</v>
      </c>
      <c r="J20" s="19">
        <v>74.5</v>
      </c>
      <c r="K20" s="19">
        <v>84.5</v>
      </c>
      <c r="M20" s="19"/>
      <c r="N20" s="19"/>
      <c r="O20" s="19"/>
      <c r="P20" s="19"/>
    </row>
    <row r="21" spans="1:14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M21" s="19"/>
      <c r="N21" s="19"/>
    </row>
    <row r="22" spans="1:14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M22" s="19"/>
      <c r="N22" s="19"/>
    </row>
    <row r="23" spans="1:14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M23" s="19"/>
      <c r="N23" s="19"/>
    </row>
    <row r="24" spans="1:14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M24" s="19"/>
      <c r="N24" s="19"/>
    </row>
    <row r="25" spans="1:14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M25" s="19"/>
      <c r="N25" s="19"/>
    </row>
    <row r="26" spans="1:14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M26" s="19"/>
      <c r="N26" s="19"/>
    </row>
    <row r="27" spans="1:14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M27" s="19"/>
      <c r="N27" s="19"/>
    </row>
    <row r="28" spans="1:14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19"/>
      <c r="N38" s="19"/>
    </row>
    <row r="39" spans="1:14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M39" s="19"/>
      <c r="N39" s="19"/>
    </row>
    <row r="40" spans="1:14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M40" s="19"/>
      <c r="N40" s="19"/>
    </row>
    <row r="41" spans="1:14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M41" s="19"/>
      <c r="N41" s="19"/>
    </row>
    <row r="42" spans="1:14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M42" s="19"/>
      <c r="N42" s="19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M43" s="19"/>
      <c r="N43" s="19"/>
    </row>
    <row r="44" spans="1:14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M44" s="19"/>
      <c r="N44" s="19"/>
    </row>
    <row r="45" spans="1:14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M45" s="19"/>
      <c r="N45" s="19"/>
    </row>
    <row r="46" spans="1:14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M46" s="19"/>
      <c r="N46" s="19"/>
    </row>
    <row r="47" spans="1:14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M47" s="19"/>
      <c r="N47" s="19"/>
    </row>
    <row r="48" spans="1:14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M48" s="19"/>
      <c r="N48" s="19"/>
    </row>
    <row r="49" spans="1:14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M49" s="19"/>
      <c r="N49" s="19"/>
    </row>
    <row r="50" spans="1:14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M50" s="19"/>
      <c r="N50" s="19"/>
    </row>
    <row r="51" spans="1:14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M51" s="19"/>
      <c r="N51" s="19"/>
    </row>
    <row r="52" spans="1:14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M52" s="19"/>
      <c r="N52" s="19"/>
    </row>
    <row r="53" spans="1:14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M53" s="19"/>
      <c r="N53" s="19"/>
    </row>
    <row r="54" spans="1:14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M55" s="19"/>
      <c r="N55" s="19"/>
    </row>
    <row r="56" spans="1:14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M57" s="19"/>
      <c r="N57" s="19"/>
    </row>
    <row r="58" spans="1:14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M68" s="19"/>
      <c r="N68" s="19"/>
    </row>
    <row r="69" spans="1:14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M69" s="19"/>
      <c r="N69" s="19"/>
    </row>
    <row r="70" spans="1:14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M70" s="19"/>
      <c r="N70" s="19"/>
    </row>
    <row r="71" spans="1:14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M71" s="19"/>
      <c r="N71" s="19"/>
    </row>
    <row r="72" spans="1:14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M72" s="19"/>
      <c r="N72" s="19"/>
    </row>
    <row r="73" spans="1:14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M73" s="19"/>
      <c r="N73" s="19"/>
    </row>
    <row r="74" spans="1:14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M74" s="19"/>
      <c r="N74" s="19"/>
    </row>
    <row r="75" spans="1:14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M75" s="19"/>
      <c r="N75" s="19"/>
    </row>
    <row r="76" spans="1:14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M76" s="19"/>
      <c r="N76" s="19"/>
    </row>
    <row r="77" spans="1:14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M77" s="19"/>
      <c r="N77" s="19"/>
    </row>
    <row r="78" spans="1:14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M78" s="19"/>
      <c r="N78" s="19"/>
    </row>
    <row r="79" spans="3:11" ht="1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</sheetData>
  <mergeCells count="2">
    <mergeCell ref="A3:K3"/>
    <mergeCell ref="A5:A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workbookViewId="0" topLeftCell="A1">
      <pane ySplit="6" topLeftCell="BM7" activePane="bottomLeft" state="frozen"/>
      <selection pane="topLeft" activeCell="A1" sqref="A1"/>
      <selection pane="bottomLeft" activeCell="A3" sqref="A3:K26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384" width="10.25390625" style="3" customWidth="1"/>
  </cols>
  <sheetData>
    <row r="1" spans="1:19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.75" customHeight="1" thickTop="1">
      <c r="A3" s="173" t="s">
        <v>136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127"/>
      <c r="M3" s="127"/>
      <c r="N3" s="127"/>
      <c r="O3" s="127"/>
      <c r="P3" s="4"/>
      <c r="Q3" s="4"/>
      <c r="R3" s="4"/>
      <c r="S3" s="4"/>
    </row>
    <row r="4" spans="1:19" ht="15">
      <c r="A4" s="5"/>
      <c r="B4" s="6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4"/>
      <c r="Q4" s="4"/>
      <c r="R4" s="4"/>
      <c r="S4" s="4"/>
    </row>
    <row r="5" spans="1:19" ht="15">
      <c r="A5" s="17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27"/>
      <c r="M5" s="27"/>
      <c r="N5" s="27"/>
      <c r="O5" s="27"/>
      <c r="P5" s="4"/>
      <c r="Q5" s="4"/>
      <c r="R5" s="4"/>
      <c r="S5" s="4"/>
    </row>
    <row r="6" spans="1:19" s="2" customFormat="1" ht="30" customHeight="1">
      <c r="A6" s="180"/>
      <c r="B6" s="23" t="s">
        <v>135</v>
      </c>
      <c r="C6" s="23" t="s">
        <v>12</v>
      </c>
      <c r="D6" s="24" t="s">
        <v>13</v>
      </c>
      <c r="E6" s="24" t="s">
        <v>14</v>
      </c>
      <c r="F6" s="24" t="s">
        <v>15</v>
      </c>
      <c r="G6" s="24" t="s">
        <v>16</v>
      </c>
      <c r="H6" s="24" t="s">
        <v>17</v>
      </c>
      <c r="I6" s="24" t="s">
        <v>18</v>
      </c>
      <c r="J6" s="24" t="s">
        <v>19</v>
      </c>
      <c r="K6" s="25" t="s">
        <v>20</v>
      </c>
      <c r="L6" s="24"/>
      <c r="M6" s="24"/>
      <c r="N6" s="24"/>
      <c r="O6" s="24"/>
      <c r="P6" s="1"/>
      <c r="Q6" s="1"/>
      <c r="R6" s="1"/>
      <c r="S6" s="1"/>
    </row>
    <row r="7" spans="1:19" s="2" customFormat="1" ht="15">
      <c r="A7" s="15">
        <v>1832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"/>
      <c r="Q7" s="128" t="s">
        <v>129</v>
      </c>
      <c r="R7" s="1"/>
      <c r="S7" s="1"/>
    </row>
    <row r="8" spans="1:19" s="2" customFormat="1" ht="15">
      <c r="A8" s="56">
        <v>1872</v>
      </c>
      <c r="B8" s="16">
        <v>24.348</v>
      </c>
      <c r="C8" s="16"/>
      <c r="D8" s="16"/>
      <c r="E8" s="16">
        <f>'[5]TableB6'!B87/(1000*'[5]TableB1'!$B9*'[5]TableB4'!$B22)</f>
        <v>3.9499063372185415</v>
      </c>
      <c r="F8" s="16">
        <f>'[5]TableB6'!C87/(1000*'[5]TableB1'!$B9*'[5]TableB4'!$B22)</f>
        <v>4.315466296270924</v>
      </c>
      <c r="G8" s="16">
        <f>'[5]TableB6'!D87/(1000*'[5]TableB1'!$B9*'[5]TableB4'!$B22)</f>
        <v>4.149725128395479</v>
      </c>
      <c r="H8" s="16">
        <f>'[5]TableB6'!E87/(1000*'[5]TableB1'!$B9*'[5]TableB4'!$B22)</f>
        <v>3.9065348166530045</v>
      </c>
      <c r="I8" s="16">
        <f>'[5]TableB6'!F87/(1000*'[5]TableB1'!$B9*'[5]TableB4'!$B22)</f>
        <v>3.7253038200041537</v>
      </c>
      <c r="J8" s="16">
        <f>'[5]TableB6'!G87/(1000*'[5]TableB1'!$B9*'[5]TableB4'!$B22)</f>
        <v>3.0019288162860915</v>
      </c>
      <c r="K8" s="17">
        <f>'[5]TableB6'!H87/(1000*'[5]TableB1'!$B9*'[5]TableB4'!$B22)</f>
        <v>1.0780920826290608</v>
      </c>
      <c r="L8" s="72"/>
      <c r="M8" s="72"/>
      <c r="N8" s="72"/>
      <c r="O8" s="72"/>
      <c r="P8" s="1"/>
      <c r="Q8" s="47">
        <f>B8-SUM(E8:K8)</f>
        <v>0.22104270254273928</v>
      </c>
      <c r="R8" s="1"/>
      <c r="S8" s="1"/>
    </row>
    <row r="9" spans="1:19" s="2" customFormat="1" ht="15">
      <c r="A9" s="56">
        <v>1882</v>
      </c>
      <c r="B9" s="16">
        <v>34.932</v>
      </c>
      <c r="C9" s="16"/>
      <c r="D9" s="16"/>
      <c r="E9" s="16">
        <f>'[5]TableB6'!B88/(1000*'[5]TableB1'!$B10*'[5]TableB4'!$B23)</f>
        <v>5.936340943455074</v>
      </c>
      <c r="F9" s="16">
        <f>'[5]TableB6'!C88/(1000*'[5]TableB1'!$B10*'[5]TableB4'!$B23)</f>
        <v>6.178466173874306</v>
      </c>
      <c r="G9" s="16">
        <f>'[5]TableB6'!D88/(1000*'[5]TableB1'!$B10*'[5]TableB4'!$B23)</f>
        <v>6.054555026542111</v>
      </c>
      <c r="H9" s="16">
        <f>'[5]TableB6'!E88/(1000*'[5]TableB1'!$B10*'[5]TableB4'!$B23)</f>
        <v>5.953432136190549</v>
      </c>
      <c r="I9" s="16">
        <f>'[5]TableB6'!F88/(1000*'[5]TableB1'!$B10*'[5]TableB4'!$B23)</f>
        <v>5.5475163087230115</v>
      </c>
      <c r="J9" s="16">
        <f>'[5]TableB6'!G88/(1000*'[5]TableB1'!$B10*'[5]TableB4'!$B23)</f>
        <v>4.016430292836686</v>
      </c>
      <c r="K9" s="17">
        <f>'[5]TableB6'!H88/(1000*'[5]TableB1'!$B10*'[5]TableB4'!$B23)</f>
        <v>1.6820582183830235</v>
      </c>
      <c r="L9" s="72"/>
      <c r="M9" s="72"/>
      <c r="N9" s="72"/>
      <c r="O9" s="72"/>
      <c r="P9" s="1"/>
      <c r="Q9" s="47">
        <f aca="true" t="shared" si="0" ref="Q9:Q14">B9-SUM(E9:K9)</f>
        <v>-0.4367991000047624</v>
      </c>
      <c r="R9" s="1"/>
      <c r="S9" s="1"/>
    </row>
    <row r="10" spans="1:19" ht="15">
      <c r="A10" s="57">
        <v>1912</v>
      </c>
      <c r="B10" s="16">
        <v>36.681</v>
      </c>
      <c r="C10" s="16"/>
      <c r="D10" s="16"/>
      <c r="E10" s="16">
        <f>'[5]TableB6'!B89/(1000*'[5]TableB1'!$B11*'[5]TableB4'!$B24)</f>
        <v>3.7546500613645843</v>
      </c>
      <c r="F10" s="16">
        <f>'[5]TableB6'!C89/(1000*'[5]TableB1'!$B11*'[5]TableB4'!$B24)</f>
        <v>5.2131920158459915</v>
      </c>
      <c r="G10" s="16">
        <f>'[5]TableB6'!D89/(1000*'[5]TableB1'!$B11*'[5]TableB4'!$B24)</f>
        <v>5.9205535645859015</v>
      </c>
      <c r="H10" s="16">
        <f>'[5]TableB6'!E89/(1000*'[5]TableB1'!$B11*'[5]TableB4'!$B24)</f>
        <v>6.741844141529938</v>
      </c>
      <c r="I10" s="16">
        <f>'[5]TableB6'!F89/(1000*'[5]TableB1'!$B11*'[5]TableB4'!$B24)</f>
        <v>6.534017562608124</v>
      </c>
      <c r="J10" s="16">
        <f>'[5]TableB6'!G89/(1000*'[5]TableB1'!$B11*'[5]TableB4'!$B24)</f>
        <v>5.795356830295652</v>
      </c>
      <c r="K10" s="17">
        <f>'[5]TableB6'!H89/(1000*'[5]TableB1'!$B11*'[5]TableB4'!$B24)</f>
        <v>2.7543281543854903</v>
      </c>
      <c r="L10" s="72"/>
      <c r="M10" s="72"/>
      <c r="N10" s="72"/>
      <c r="O10" s="72"/>
      <c r="P10" s="19"/>
      <c r="Q10" s="47">
        <f t="shared" si="0"/>
        <v>-0.032942330615682636</v>
      </c>
      <c r="R10" s="19"/>
      <c r="S10" s="19"/>
    </row>
    <row r="11" spans="1:19" ht="15">
      <c r="A11" s="57">
        <v>1922</v>
      </c>
      <c r="B11" s="16">
        <v>33.3</v>
      </c>
      <c r="C11" s="16"/>
      <c r="D11" s="16"/>
      <c r="E11" s="16">
        <f>'[5]TableB6'!B90/(1000*'[5]TableB1'!$B12*'[5]TableB4'!$B25)</f>
        <v>3.0092371189982012</v>
      </c>
      <c r="F11" s="16">
        <f>'[5]TableB6'!C90/(1000*'[5]TableB1'!$B12*'[5]TableB4'!$B25)</f>
        <v>3.6152932660411956</v>
      </c>
      <c r="G11" s="16">
        <f>'[5]TableB6'!D90/(1000*'[5]TableB1'!$B12*'[5]TableB4'!$B25)</f>
        <v>5.137448172387605</v>
      </c>
      <c r="H11" s="16">
        <f>'[5]TableB6'!E90/(1000*'[5]TableB1'!$B12*'[5]TableB4'!$B25)</f>
        <v>5.949731758354952</v>
      </c>
      <c r="I11" s="16">
        <f>'[5]TableB6'!F90/(1000*'[5]TableB1'!$B12*'[5]TableB4'!$B25)</f>
        <v>6.731151373871034</v>
      </c>
      <c r="J11" s="16">
        <f>'[5]TableB6'!G90/(1000*'[5]TableB1'!$B12*'[5]TableB4'!$B25)</f>
        <v>5.991818990788493</v>
      </c>
      <c r="K11" s="17">
        <f>'[5]TableB6'!H90/(1000*'[5]TableB1'!$B12*'[5]TableB4'!$B25)</f>
        <v>3.0120429344937705</v>
      </c>
      <c r="L11" s="72"/>
      <c r="M11" s="72"/>
      <c r="N11" s="72"/>
      <c r="O11" s="72"/>
      <c r="P11" s="19"/>
      <c r="Q11" s="47">
        <f t="shared" si="0"/>
        <v>-0.14672361493525443</v>
      </c>
      <c r="R11" s="19"/>
      <c r="S11" s="19"/>
    </row>
    <row r="12" spans="1:19" ht="15">
      <c r="A12" s="57">
        <v>1927</v>
      </c>
      <c r="B12" s="16">
        <v>31.78</v>
      </c>
      <c r="C12" s="16"/>
      <c r="D12" s="16"/>
      <c r="E12" s="16">
        <f>'[5]TableB6'!B91/(1000*'[5]TableB1'!$B13*'[5]TableB4'!$B26)</f>
        <v>2.7630730530162917</v>
      </c>
      <c r="F12" s="16">
        <f>'[5]TableB6'!C91/(1000*'[5]TableB1'!$B13*'[5]TableB4'!$B26)</f>
        <v>3.123793957806163</v>
      </c>
      <c r="G12" s="16">
        <f>'[5]TableB6'!D91/(1000*'[5]TableB1'!$B13*'[5]TableB4'!$B26)</f>
        <v>4.383863240864658</v>
      </c>
      <c r="H12" s="16">
        <f>'[5]TableB6'!E91/(1000*'[5]TableB1'!$B13*'[5]TableB4'!$B26)</f>
        <v>5.68319466322001</v>
      </c>
      <c r="I12" s="16">
        <f>'[5]TableB6'!F91/(1000*'[5]TableB1'!$B13*'[5]TableB4'!$B26)</f>
        <v>6.598493285577982</v>
      </c>
      <c r="J12" s="16">
        <f>'[5]TableB6'!G91/(1000*'[5]TableB1'!$B13*'[5]TableB4'!$B26)</f>
        <v>6.123666788456621</v>
      </c>
      <c r="K12" s="17">
        <f>'[5]TableB6'!H91/(1000*'[5]TableB1'!$B13*'[5]TableB4'!$B26)</f>
        <v>3.1618291552499924</v>
      </c>
      <c r="L12" s="72"/>
      <c r="M12" s="72"/>
      <c r="N12" s="72"/>
      <c r="O12" s="72"/>
      <c r="P12" s="19"/>
      <c r="Q12" s="47">
        <f t="shared" si="0"/>
        <v>-0.05791414419172014</v>
      </c>
      <c r="R12" s="19"/>
      <c r="S12" s="19"/>
    </row>
    <row r="13" spans="1:19" ht="15">
      <c r="A13" s="57">
        <v>1932</v>
      </c>
      <c r="B13" s="16">
        <v>31.725</v>
      </c>
      <c r="C13" s="16"/>
      <c r="D13" s="16"/>
      <c r="E13" s="16">
        <f>'[5]TableB6'!B92/(1000*'[5]TableB1'!$B14*'[5]TableB4'!$B27)</f>
        <v>2.4818840527944808</v>
      </c>
      <c r="F13" s="16">
        <f>'[5]TableB6'!C92/(1000*'[5]TableB1'!$B14*'[5]TableB4'!$B27)</f>
        <v>3.3576012862211364</v>
      </c>
      <c r="G13" s="16">
        <f>'[5]TableB6'!D92/(1000*'[5]TableB1'!$B14*'[5]TableB4'!$B27)</f>
        <v>4.490963026508842</v>
      </c>
      <c r="H13" s="16">
        <f>'[5]TableB6'!E92/(1000*'[5]TableB1'!$B14*'[5]TableB4'!$B27)</f>
        <v>5.9299350063179</v>
      </c>
      <c r="I13" s="16">
        <f>'[5]TableB6'!F92/(1000*'[5]TableB1'!$B14*'[5]TableB4'!$B27)</f>
        <v>6.535673687342285</v>
      </c>
      <c r="J13" s="16">
        <f>'[5]TableB6'!G92/(1000*'[5]TableB1'!$B14*'[5]TableB4'!$B27)</f>
        <v>6.198543109215592</v>
      </c>
      <c r="K13" s="17">
        <f>'[5]TableB6'!H92/(1000*'[5]TableB1'!$B14*'[5]TableB4'!$B27)</f>
        <v>3.309635553560834</v>
      </c>
      <c r="L13" s="72"/>
      <c r="M13" s="72"/>
      <c r="N13" s="72"/>
      <c r="O13" s="72"/>
      <c r="P13" s="19"/>
      <c r="Q13" s="47">
        <f t="shared" si="0"/>
        <v>-0.5792357219610693</v>
      </c>
      <c r="R13" s="19"/>
      <c r="S13" s="19"/>
    </row>
    <row r="14" spans="1:19" ht="15">
      <c r="A14" s="57">
        <v>1937</v>
      </c>
      <c r="B14" s="16">
        <v>30.274</v>
      </c>
      <c r="C14" s="16"/>
      <c r="D14" s="16"/>
      <c r="E14" s="16">
        <f>'[5]TableB6'!B93/(1000*'[5]TableB1'!$B15*'[5]TableB4'!$B28)</f>
        <v>1.608007300570457</v>
      </c>
      <c r="F14" s="16">
        <f>'[5]TableB6'!C93/(1000*'[5]TableB1'!$B15*'[5]TableB4'!$B28)</f>
        <v>2.9691652583820494</v>
      </c>
      <c r="G14" s="16">
        <f>'[5]TableB6'!D93/(1000*'[5]TableB1'!$B15*'[5]TableB4'!$B28)</f>
        <v>3.9175130158737326</v>
      </c>
      <c r="H14" s="16">
        <f>'[5]TableB6'!E93/(1000*'[5]TableB1'!$B15*'[5]TableB4'!$B28)</f>
        <v>5.388846669040976</v>
      </c>
      <c r="I14" s="16">
        <f>'[5]TableB6'!F93/(1000*'[5]TableB1'!$B15*'[5]TableB4'!$B28)</f>
        <v>6.41808291173048</v>
      </c>
      <c r="J14" s="16">
        <f>'[5]TableB6'!G93/(1000*'[5]TableB1'!$B15*'[5]TableB4'!$B28)</f>
        <v>6.238175763618087</v>
      </c>
      <c r="K14" s="17">
        <f>'[5]TableB6'!H93/(1000*'[5]TableB1'!$B15*'[5]TableB4'!$B28)</f>
        <v>3.6218516561851493</v>
      </c>
      <c r="L14" s="72"/>
      <c r="M14" s="72"/>
      <c r="N14" s="72"/>
      <c r="O14" s="72"/>
      <c r="P14" s="19"/>
      <c r="Q14" s="47">
        <f t="shared" si="0"/>
        <v>0.11235742459906817</v>
      </c>
      <c r="R14" s="19"/>
      <c r="S14" s="19"/>
    </row>
    <row r="15" spans="1:19" ht="15">
      <c r="A15" s="18">
        <v>1952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9"/>
      <c r="Q15" s="19"/>
      <c r="R15" s="19"/>
      <c r="S15" s="19"/>
    </row>
    <row r="16" spans="1:19" ht="15.75" thickBot="1">
      <c r="A16" s="20">
        <v>1992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16"/>
      <c r="M16" s="16"/>
      <c r="N16" s="16"/>
      <c r="O16" s="16"/>
      <c r="P16" s="19"/>
      <c r="Q16" s="19"/>
      <c r="R16" s="19"/>
      <c r="S16" s="19"/>
    </row>
    <row r="17" spans="1:19" ht="15.75" thickTop="1">
      <c r="A17" s="138" t="s">
        <v>162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40"/>
      <c r="L17" s="19"/>
      <c r="M17" s="19"/>
      <c r="N17" s="19"/>
      <c r="O17" s="19"/>
      <c r="P17" s="19"/>
      <c r="Q17" s="19"/>
      <c r="R17" s="19"/>
      <c r="S17" s="19"/>
    </row>
    <row r="18" spans="1:19" ht="15">
      <c r="A18" s="141" t="s">
        <v>122</v>
      </c>
      <c r="B18" s="97"/>
      <c r="C18" s="97"/>
      <c r="D18" s="97"/>
      <c r="E18" s="97"/>
      <c r="F18" s="97"/>
      <c r="G18" s="97"/>
      <c r="H18" s="97"/>
      <c r="I18" s="97"/>
      <c r="J18" s="97"/>
      <c r="K18" s="142"/>
      <c r="L18" s="19"/>
      <c r="M18" s="19"/>
      <c r="N18" s="19"/>
      <c r="O18" s="19"/>
      <c r="P18" s="19"/>
      <c r="Q18" s="19"/>
      <c r="R18" s="19"/>
      <c r="S18" s="19"/>
    </row>
    <row r="19" spans="1:19" ht="15">
      <c r="A19" s="141" t="s">
        <v>120</v>
      </c>
      <c r="B19" s="97"/>
      <c r="C19" s="97"/>
      <c r="D19" s="97"/>
      <c r="E19" s="97"/>
      <c r="F19" s="97"/>
      <c r="G19" s="97"/>
      <c r="H19" s="97"/>
      <c r="I19" s="97"/>
      <c r="J19" s="97"/>
      <c r="K19" s="142"/>
      <c r="L19" s="19"/>
      <c r="M19" s="19"/>
      <c r="N19" s="19"/>
      <c r="O19" s="19"/>
      <c r="P19" s="19"/>
      <c r="Q19" s="19"/>
      <c r="R19" s="19"/>
      <c r="S19" s="19"/>
    </row>
    <row r="20" spans="1:19" ht="15">
      <c r="A20" s="141" t="s">
        <v>121</v>
      </c>
      <c r="B20" s="97"/>
      <c r="C20" s="97"/>
      <c r="D20" s="97"/>
      <c r="E20" s="97"/>
      <c r="F20" s="97"/>
      <c r="G20" s="97"/>
      <c r="H20" s="97"/>
      <c r="I20" s="97"/>
      <c r="J20" s="97"/>
      <c r="K20" s="142"/>
      <c r="L20" s="19"/>
      <c r="M20" s="19"/>
      <c r="N20" s="19"/>
      <c r="O20" s="19"/>
      <c r="P20" s="19"/>
      <c r="Q20" s="19"/>
      <c r="R20" s="19"/>
      <c r="S20" s="19"/>
    </row>
    <row r="21" spans="1:19" ht="15">
      <c r="A21" s="141" t="s">
        <v>123</v>
      </c>
      <c r="B21" s="97"/>
      <c r="C21" s="97"/>
      <c r="D21" s="97"/>
      <c r="E21" s="97"/>
      <c r="F21" s="97"/>
      <c r="G21" s="97"/>
      <c r="H21" s="97"/>
      <c r="I21" s="97"/>
      <c r="J21" s="97"/>
      <c r="K21" s="142"/>
      <c r="L21" s="19"/>
      <c r="M21" s="19"/>
      <c r="N21" s="19"/>
      <c r="O21" s="19"/>
      <c r="P21" s="19"/>
      <c r="Q21" s="19"/>
      <c r="R21" s="19"/>
      <c r="S21" s="19"/>
    </row>
    <row r="22" spans="1:19" ht="15">
      <c r="A22" s="141" t="s">
        <v>124</v>
      </c>
      <c r="B22" s="97"/>
      <c r="C22" s="97"/>
      <c r="D22" s="97"/>
      <c r="E22" s="97"/>
      <c r="F22" s="97"/>
      <c r="G22" s="97"/>
      <c r="H22" s="97"/>
      <c r="I22" s="97"/>
      <c r="J22" s="97"/>
      <c r="K22" s="142"/>
      <c r="L22" s="19"/>
      <c r="M22" s="19"/>
      <c r="N22" s="19"/>
      <c r="O22" s="19"/>
      <c r="P22" s="19"/>
      <c r="Q22" s="19"/>
      <c r="R22" s="19"/>
      <c r="S22" s="19"/>
    </row>
    <row r="23" spans="1:19" ht="15">
      <c r="A23" s="149" t="s">
        <v>142</v>
      </c>
      <c r="B23" s="97"/>
      <c r="C23" s="97"/>
      <c r="D23" s="97"/>
      <c r="E23" s="97"/>
      <c r="F23" s="97"/>
      <c r="G23" s="97"/>
      <c r="H23" s="97"/>
      <c r="I23" s="97"/>
      <c r="J23" s="97"/>
      <c r="K23" s="142"/>
      <c r="L23" s="19"/>
      <c r="M23" s="19"/>
      <c r="N23" s="19"/>
      <c r="O23" s="19"/>
      <c r="P23" s="19"/>
      <c r="Q23" s="19"/>
      <c r="R23" s="19"/>
      <c r="S23" s="19"/>
    </row>
    <row r="24" spans="1:19" ht="15">
      <c r="A24" s="141" t="s">
        <v>143</v>
      </c>
      <c r="B24" s="97"/>
      <c r="C24" s="97"/>
      <c r="D24" s="97"/>
      <c r="E24" s="97"/>
      <c r="F24" s="97"/>
      <c r="G24" s="97"/>
      <c r="H24" s="97"/>
      <c r="I24" s="97"/>
      <c r="J24" s="97"/>
      <c r="K24" s="142"/>
      <c r="L24" s="19"/>
      <c r="M24" s="19"/>
      <c r="N24" s="19"/>
      <c r="O24" s="19"/>
      <c r="P24" s="19"/>
      <c r="Q24" s="19"/>
      <c r="R24" s="19"/>
      <c r="S24" s="19"/>
    </row>
    <row r="25" spans="1:19" ht="15">
      <c r="A25" s="141" t="s">
        <v>164</v>
      </c>
      <c r="B25" s="97"/>
      <c r="C25" s="97"/>
      <c r="D25" s="97"/>
      <c r="E25" s="97"/>
      <c r="F25" s="97"/>
      <c r="G25" s="97"/>
      <c r="H25" s="97"/>
      <c r="I25" s="97"/>
      <c r="J25" s="97"/>
      <c r="K25" s="142"/>
      <c r="L25" s="19"/>
      <c r="M25" s="19"/>
      <c r="N25" s="19"/>
      <c r="O25" s="19"/>
      <c r="P25" s="19"/>
      <c r="Q25" s="19"/>
      <c r="R25" s="19"/>
      <c r="S25" s="19"/>
    </row>
    <row r="26" spans="1:17" ht="15.75" thickBot="1">
      <c r="A26" s="143" t="s">
        <v>163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19"/>
      <c r="M26" s="19"/>
      <c r="N26" s="19"/>
      <c r="O26" s="19"/>
      <c r="P26" s="19"/>
      <c r="Q26" s="19"/>
    </row>
    <row r="27" spans="1:17" ht="15.75" thickTop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3:15" ht="1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</sheetData>
  <mergeCells count="2">
    <mergeCell ref="A3:K3"/>
    <mergeCell ref="A5:A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1">
      <pane ySplit="6" topLeftCell="BM7" activePane="bottomLeft" state="frozen"/>
      <selection pane="topLeft" activeCell="A1" sqref="A1"/>
      <selection pane="bottomLeft" activeCell="A3" sqref="A3:K17"/>
    </sheetView>
  </sheetViews>
  <sheetFormatPr defaultColWidth="10.25390625" defaultRowHeight="15.75"/>
  <cols>
    <col min="1" max="2" width="10.25390625" style="3" customWidth="1"/>
    <col min="3" max="3" width="10.6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625" style="3" customWidth="1"/>
    <col min="8" max="16384" width="10.25390625" style="3" customWidth="1"/>
  </cols>
  <sheetData>
    <row r="1" spans="1:15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5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.75" customHeight="1" thickTop="1">
      <c r="A3" s="173" t="s">
        <v>134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4"/>
      <c r="M3" s="4"/>
      <c r="N3" s="4"/>
      <c r="O3" s="4"/>
    </row>
    <row r="4" spans="1:15" ht="15">
      <c r="A4" s="5"/>
      <c r="B4" s="6"/>
      <c r="C4" s="7"/>
      <c r="D4" s="7"/>
      <c r="E4" s="7"/>
      <c r="F4" s="7"/>
      <c r="G4" s="7"/>
      <c r="H4" s="7"/>
      <c r="I4" s="7"/>
      <c r="J4" s="7"/>
      <c r="K4" s="8"/>
      <c r="L4" s="4"/>
      <c r="M4" s="4"/>
      <c r="N4" s="4"/>
      <c r="O4" s="4"/>
    </row>
    <row r="5" spans="1:15" ht="15">
      <c r="A5" s="17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4"/>
      <c r="M5" s="4"/>
      <c r="N5" s="4"/>
      <c r="O5" s="4"/>
    </row>
    <row r="6" spans="1:15" s="2" customFormat="1" ht="30" customHeight="1">
      <c r="A6" s="180"/>
      <c r="B6" s="23" t="s">
        <v>11</v>
      </c>
      <c r="C6" s="23" t="s">
        <v>12</v>
      </c>
      <c r="D6" s="24" t="s">
        <v>13</v>
      </c>
      <c r="E6" s="24" t="s">
        <v>14</v>
      </c>
      <c r="F6" s="24" t="s">
        <v>15</v>
      </c>
      <c r="G6" s="24" t="s">
        <v>16</v>
      </c>
      <c r="H6" s="24" t="s">
        <v>17</v>
      </c>
      <c r="I6" s="24" t="s">
        <v>18</v>
      </c>
      <c r="J6" s="24" t="s">
        <v>19</v>
      </c>
      <c r="K6" s="25" t="s">
        <v>20</v>
      </c>
      <c r="L6" s="1"/>
      <c r="M6" s="1"/>
      <c r="N6" s="1"/>
      <c r="O6" s="1"/>
    </row>
    <row r="7" spans="1:15" s="2" customFormat="1" ht="15">
      <c r="A7" s="15">
        <v>1832</v>
      </c>
      <c r="B7" s="16">
        <f>'TableC5(m)'!B10+'TableC5(f)'!B10</f>
        <v>789.0120000000001</v>
      </c>
      <c r="C7" s="16">
        <f>'TableC5(m)'!C10+'TableC5(f)'!C10</f>
        <v>313.69100000000003</v>
      </c>
      <c r="D7" s="16">
        <f>'TableC5(m)'!D10+'TableC5(f)'!D10</f>
        <v>38.516999999999996</v>
      </c>
      <c r="E7" s="16">
        <f>'TableC5(m)'!E10+'TableC5(f)'!E10</f>
        <v>51.321</v>
      </c>
      <c r="F7" s="16">
        <f>'TableC5(m)'!F10+'TableC5(f)'!F10</f>
        <v>49.468999999999994</v>
      </c>
      <c r="G7" s="16">
        <f>'TableC5(m)'!G10+'TableC5(f)'!G10</f>
        <v>50.985</v>
      </c>
      <c r="H7" s="16">
        <f>'TableC5(m)'!H10+'TableC5(f)'!H10</f>
        <v>63.42099999999999</v>
      </c>
      <c r="I7" s="16">
        <f>'TableC5(m)'!I10+'TableC5(f)'!I10</f>
        <v>85.96600000000001</v>
      </c>
      <c r="J7" s="16">
        <f>'TableC5(m)'!J10+'TableC5(f)'!J10</f>
        <v>90.547</v>
      </c>
      <c r="K7" s="17">
        <f>'TableC5(m)'!K10+'TableC5(f)'!K10</f>
        <v>45.095</v>
      </c>
      <c r="L7" s="1"/>
      <c r="M7" s="1"/>
      <c r="N7" s="1"/>
      <c r="O7" s="1"/>
    </row>
    <row r="8" spans="1:15" s="2" customFormat="1" ht="15">
      <c r="A8" s="56">
        <v>1872</v>
      </c>
      <c r="B8" s="16">
        <f>'TableC5(m)'!B11+'TableC5(f)'!B11</f>
        <v>832.9490000000001</v>
      </c>
      <c r="C8" s="16">
        <f>'TableC5(m)'!C11+'TableC5(f)'!C11</f>
        <v>294.924</v>
      </c>
      <c r="D8" s="16">
        <f>'TableC5(m)'!D11+'TableC5(f)'!D11</f>
        <v>38.995</v>
      </c>
      <c r="E8" s="16">
        <f>'TableC5(m)'!E11+'TableC5(f)'!E11</f>
        <v>44.675</v>
      </c>
      <c r="F8" s="16">
        <f>'TableC5(m)'!F11+'TableC5(f)'!F11</f>
        <v>46.123999999999995</v>
      </c>
      <c r="G8" s="16">
        <f>'TableC5(m)'!G11+'TableC5(f)'!G11</f>
        <v>55.230000000000004</v>
      </c>
      <c r="H8" s="16">
        <f>'TableC5(m)'!H11+'TableC5(f)'!H11</f>
        <v>71.286</v>
      </c>
      <c r="I8" s="16">
        <f>'TableC5(m)'!I11+'TableC5(f)'!I11</f>
        <v>96.321</v>
      </c>
      <c r="J8" s="16">
        <f>'TableC5(m)'!J11+'TableC5(f)'!J11</f>
        <v>129.54500000000002</v>
      </c>
      <c r="K8" s="17">
        <f>'TableC5(m)'!K11+'TableC5(f)'!K11</f>
        <v>55.849000000000004</v>
      </c>
      <c r="L8" s="1"/>
      <c r="M8" s="1"/>
      <c r="N8" s="1"/>
      <c r="O8" s="1"/>
    </row>
    <row r="9" spans="1:15" s="2" customFormat="1" ht="15">
      <c r="A9" s="57">
        <v>1882</v>
      </c>
      <c r="B9" s="16">
        <f>'TableC5(m)'!B12+'TableC5(f)'!B12</f>
        <v>832.8439999999999</v>
      </c>
      <c r="C9" s="16">
        <f>'TableC5(m)'!C12+'TableC5(f)'!C12</f>
        <v>270.092</v>
      </c>
      <c r="D9" s="16">
        <f>'TableC5(m)'!D12+'TableC5(f)'!D12</f>
        <v>37.964</v>
      </c>
      <c r="E9" s="16">
        <f>'TableC5(m)'!E12+'TableC5(f)'!E12</f>
        <v>43.91</v>
      </c>
      <c r="F9" s="16">
        <f>'TableC5(m)'!F12+'TableC5(f)'!F12</f>
        <v>45.650999999999996</v>
      </c>
      <c r="G9" s="16">
        <f>'TableC5(m)'!G12+'TableC5(f)'!G12</f>
        <v>55.239000000000004</v>
      </c>
      <c r="H9" s="16">
        <f>'TableC5(m)'!H12+'TableC5(f)'!H12</f>
        <v>77.656</v>
      </c>
      <c r="I9" s="16">
        <f>'TableC5(m)'!I12+'TableC5(f)'!I12</f>
        <v>100.501</v>
      </c>
      <c r="J9" s="16">
        <f>'TableC5(m)'!J12+'TableC5(f)'!J12</f>
        <v>138.697</v>
      </c>
      <c r="K9" s="17">
        <f>'TableC5(m)'!K12+'TableC5(f)'!K12</f>
        <v>63.134</v>
      </c>
      <c r="L9" s="1"/>
      <c r="M9" s="1"/>
      <c r="N9" s="1"/>
      <c r="O9" s="1"/>
    </row>
    <row r="10" spans="1:15" ht="15">
      <c r="A10" s="57">
        <v>1912</v>
      </c>
      <c r="B10" s="16">
        <f>'TableC5(m)'!B13+'TableC5(f)'!B13</f>
        <v>697.1389999999999</v>
      </c>
      <c r="C10" s="16">
        <f>'TableC5(m)'!C13+'TableC5(f)'!C13</f>
        <v>129.03</v>
      </c>
      <c r="D10" s="16">
        <f>'TableC5(m)'!D13+'TableC5(f)'!D13</f>
        <v>23.024</v>
      </c>
      <c r="E10" s="16">
        <f>'TableC5(m)'!E13+'TableC5(f)'!E13</f>
        <v>39.786</v>
      </c>
      <c r="F10" s="16">
        <f>'TableC5(m)'!F13+'TableC5(f)'!F13</f>
        <v>46.479</v>
      </c>
      <c r="G10" s="16">
        <f>'TableC5(m)'!G13+'TableC5(f)'!G13</f>
        <v>55.30800000000001</v>
      </c>
      <c r="H10" s="16">
        <f>'TableC5(m)'!H13+'TableC5(f)'!H13</f>
        <v>76.213</v>
      </c>
      <c r="I10" s="16">
        <f>'TableC5(m)'!I13+'TableC5(f)'!I13</f>
        <v>116.40899999999999</v>
      </c>
      <c r="J10" s="16">
        <f>'TableC5(m)'!J13+'TableC5(f)'!J13</f>
        <v>139.631</v>
      </c>
      <c r="K10" s="17">
        <f>'TableC5(m)'!K13+'TableC5(f)'!K13</f>
        <v>71.259</v>
      </c>
      <c r="L10" s="19"/>
      <c r="M10" s="19"/>
      <c r="N10" s="19"/>
      <c r="O10" s="19"/>
    </row>
    <row r="11" spans="1:15" ht="15">
      <c r="A11" s="57">
        <v>1922</v>
      </c>
      <c r="B11" s="16">
        <f>'TableC5(m)'!B14+'TableC5(f)'!B14</f>
        <v>692.231</v>
      </c>
      <c r="C11" s="16">
        <f>'TableC5(m)'!C14+'TableC5(f)'!C14</f>
        <v>97.515</v>
      </c>
      <c r="D11" s="16">
        <f>'TableC5(m)'!D14+'TableC5(f)'!D14</f>
        <v>22.164</v>
      </c>
      <c r="E11" s="16">
        <f>'TableC5(m)'!E14+'TableC5(f)'!E14</f>
        <v>36.346000000000004</v>
      </c>
      <c r="F11" s="16">
        <f>'TableC5(m)'!F14+'TableC5(f)'!F14</f>
        <v>38.275</v>
      </c>
      <c r="G11" s="16">
        <f>'TableC5(m)'!G14+'TableC5(f)'!G14</f>
        <v>54.528999999999996</v>
      </c>
      <c r="H11" s="16">
        <f>'TableC5(m)'!H14+'TableC5(f)'!H14</f>
        <v>79.052</v>
      </c>
      <c r="I11" s="16">
        <f>'TableC5(m)'!I14+'TableC5(f)'!I14</f>
        <v>121.554</v>
      </c>
      <c r="J11" s="16">
        <f>'TableC5(m)'!J14+'TableC5(f)'!J14</f>
        <v>157.334</v>
      </c>
      <c r="K11" s="17">
        <f>'TableC5(m)'!K14+'TableC5(f)'!K14</f>
        <v>85.462</v>
      </c>
      <c r="L11" s="19"/>
      <c r="M11" s="19"/>
      <c r="N11" s="19"/>
      <c r="O11" s="19"/>
    </row>
    <row r="12" spans="1:15" ht="15">
      <c r="A12" s="57">
        <v>1927</v>
      </c>
      <c r="B12" s="16">
        <f>'TableC5(m)'!B15+'TableC5(f)'!B15</f>
        <v>679.816</v>
      </c>
      <c r="C12" s="16">
        <f>'TableC5(m)'!C15+'TableC5(f)'!C15</f>
        <v>98.19800000000001</v>
      </c>
      <c r="D12" s="16">
        <f>'TableC5(m)'!D15+'TableC5(f)'!D15</f>
        <v>20.594</v>
      </c>
      <c r="E12" s="16">
        <f>'TableC5(m)'!E15+'TableC5(f)'!E15</f>
        <v>37.664</v>
      </c>
      <c r="F12" s="16">
        <f>'TableC5(m)'!F15+'TableC5(f)'!F15</f>
        <v>35.784</v>
      </c>
      <c r="G12" s="16">
        <f>'TableC5(m)'!G15+'TableC5(f)'!G15</f>
        <v>49.754999999999995</v>
      </c>
      <c r="H12" s="16">
        <f>'TableC5(m)'!H15+'TableC5(f)'!H15</f>
        <v>76.554</v>
      </c>
      <c r="I12" s="16">
        <f>'TableC5(m)'!I15+'TableC5(f)'!I15</f>
        <v>120.63499999999999</v>
      </c>
      <c r="J12" s="16">
        <f>'TableC5(m)'!J15+'TableC5(f)'!J15</f>
        <v>151.164</v>
      </c>
      <c r="K12" s="17">
        <f>'TableC5(m)'!K15+'TableC5(f)'!K15</f>
        <v>89.46799999999999</v>
      </c>
      <c r="L12" s="19"/>
      <c r="M12" s="19"/>
      <c r="N12" s="19"/>
      <c r="O12" s="19"/>
    </row>
    <row r="13" spans="1:15" ht="15">
      <c r="A13" s="57">
        <v>1932</v>
      </c>
      <c r="B13" s="16">
        <f>'TableC5(m)'!B16+'TableC5(f)'!B16</f>
        <v>663.78</v>
      </c>
      <c r="C13" s="16">
        <f>'TableC5(m)'!C16+'TableC5(f)'!C16</f>
        <v>87.291</v>
      </c>
      <c r="D13" s="16">
        <f>'TableC5(m)'!D16+'TableC5(f)'!D16</f>
        <v>15.148</v>
      </c>
      <c r="E13" s="16">
        <f>'TableC5(m)'!E16+'TableC5(f)'!E16</f>
        <v>33.214</v>
      </c>
      <c r="F13" s="16">
        <f>'TableC5(m)'!F16+'TableC5(f)'!F16</f>
        <v>36.096000000000004</v>
      </c>
      <c r="G13" s="16">
        <f>'TableC5(m)'!G16+'TableC5(f)'!G16</f>
        <v>48.24</v>
      </c>
      <c r="H13" s="16">
        <f>'TableC5(m)'!H16+'TableC5(f)'!H16</f>
        <v>80.642</v>
      </c>
      <c r="I13" s="16">
        <f>'TableC5(m)'!I16+'TableC5(f)'!I16</f>
        <v>122.175</v>
      </c>
      <c r="J13" s="16">
        <f>'TableC5(m)'!J16+'TableC5(f)'!J16</f>
        <v>152.14</v>
      </c>
      <c r="K13" s="17">
        <f>'TableC5(m)'!K16+'TableC5(f)'!K16</f>
        <v>88.834</v>
      </c>
      <c r="L13" s="19"/>
      <c r="M13" s="19"/>
      <c r="N13" s="19"/>
      <c r="O13" s="19"/>
    </row>
    <row r="14" spans="1:15" ht="15">
      <c r="A14" s="57">
        <v>1937</v>
      </c>
      <c r="B14" s="16">
        <f>'TableC5(m)'!B17+'TableC5(f)'!B17</f>
        <v>632.8770000000001</v>
      </c>
      <c r="C14" s="16">
        <f>'TableC5(m)'!C17+'TableC5(f)'!C17</f>
        <v>63.93300000000001</v>
      </c>
      <c r="D14" s="16">
        <f>'TableC5(m)'!D17+'TableC5(f)'!D17</f>
        <v>12.701</v>
      </c>
      <c r="E14" s="16">
        <f>'TableC5(m)'!E17+'TableC5(f)'!E17</f>
        <v>25.939</v>
      </c>
      <c r="F14" s="16">
        <f>'TableC5(m)'!F17+'TableC5(f)'!F17</f>
        <v>37.558</v>
      </c>
      <c r="G14" s="16">
        <f>'TableC5(m)'!G17+'TableC5(f)'!G17</f>
        <v>46.676</v>
      </c>
      <c r="H14" s="16">
        <f>'TableC5(m)'!H17+'TableC5(f)'!H17</f>
        <v>76.273</v>
      </c>
      <c r="I14" s="16">
        <f>'TableC5(m)'!I17+'TableC5(f)'!I17</f>
        <v>122.69300000000001</v>
      </c>
      <c r="J14" s="16">
        <f>'TableC5(m)'!J17+'TableC5(f)'!J17</f>
        <v>155.757</v>
      </c>
      <c r="K14" s="17">
        <f>'TableC5(m)'!K17+'TableC5(f)'!K17</f>
        <v>91.34700000000001</v>
      </c>
      <c r="L14" s="19"/>
      <c r="M14" s="19"/>
      <c r="N14" s="19"/>
      <c r="O14" s="19"/>
    </row>
    <row r="15" spans="1:15" ht="15">
      <c r="A15" s="18">
        <v>1952</v>
      </c>
      <c r="B15" s="16">
        <f>'TableC5(m)'!B18+'TableC5(f)'!B18</f>
        <v>524.787</v>
      </c>
      <c r="C15" s="16">
        <f>'TableC5(m)'!C18+'TableC5(f)'!C18</f>
        <v>46.777</v>
      </c>
      <c r="D15" s="16">
        <f>'TableC5(m)'!D18+'TableC5(f)'!D18</f>
        <v>4.254</v>
      </c>
      <c r="E15" s="16">
        <f>'TableC5(m)'!E18+'TableC5(f)'!E18</f>
        <v>9.793</v>
      </c>
      <c r="F15" s="16">
        <f>'TableC5(m)'!F18+'TableC5(f)'!F18</f>
        <v>12.552</v>
      </c>
      <c r="G15" s="16">
        <f>'TableC5(m)'!G18+'TableC5(f)'!G18</f>
        <v>33.108000000000004</v>
      </c>
      <c r="H15" s="16">
        <f>'TableC5(m)'!H18+'TableC5(f)'!H18</f>
        <v>59.152</v>
      </c>
      <c r="I15" s="16">
        <f>'TableC5(m)'!I18+'TableC5(f)'!I18</f>
        <v>97.606</v>
      </c>
      <c r="J15" s="16">
        <f>'TableC5(m)'!J18+'TableC5(f)'!J18</f>
        <v>155.043</v>
      </c>
      <c r="K15" s="17">
        <f>'TableC5(m)'!K18+'TableC5(f)'!K18</f>
        <v>106.502</v>
      </c>
      <c r="L15" s="19"/>
      <c r="M15" s="19"/>
      <c r="N15" s="19"/>
      <c r="O15" s="19"/>
    </row>
    <row r="16" spans="1:15" ht="15.75" thickBot="1">
      <c r="A16" s="20">
        <v>1992</v>
      </c>
      <c r="B16" s="21">
        <f>'TableC5(m)'!B19+'TableC5(f)'!B19</f>
        <v>521.53</v>
      </c>
      <c r="C16" s="21">
        <f>'TableC5(m)'!C19+'TableC5(f)'!C19</f>
        <v>6.84</v>
      </c>
      <c r="D16" s="21">
        <f>'TableC5(m)'!D19+'TableC5(f)'!D19</f>
        <v>3.38</v>
      </c>
      <c r="E16" s="21">
        <f>'TableC5(m)'!E19+'TableC5(f)'!E19</f>
        <v>9.083</v>
      </c>
      <c r="F16" s="21">
        <f>'TableC5(m)'!F19+'TableC5(f)'!F19</f>
        <v>13.871</v>
      </c>
      <c r="G16" s="21">
        <f>'TableC5(m)'!G19+'TableC5(f)'!G19</f>
        <v>23.206000000000003</v>
      </c>
      <c r="H16" s="21">
        <f>'TableC5(m)'!H19+'TableC5(f)'!H19</f>
        <v>38.728</v>
      </c>
      <c r="I16" s="21">
        <f>'TableC5(m)'!I19+'TableC5(f)'!I19</f>
        <v>80.173</v>
      </c>
      <c r="J16" s="21">
        <f>'TableC5(m)'!J19+'TableC5(f)'!J19</f>
        <v>111.455</v>
      </c>
      <c r="K16" s="22">
        <f>'TableC5(m)'!K19+'TableC5(f)'!K19</f>
        <v>234.79399999999998</v>
      </c>
      <c r="L16" s="19"/>
      <c r="M16" s="19"/>
      <c r="N16" s="19"/>
      <c r="O16" s="19"/>
    </row>
    <row r="17" spans="1:15" ht="16.5" thickBot="1" thickTop="1">
      <c r="A17" s="146" t="s">
        <v>141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19"/>
      <c r="M17" s="19"/>
      <c r="N17" s="19"/>
      <c r="O17" s="19"/>
    </row>
    <row r="18" spans="1:15" ht="15.75" thickTop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3:11" ht="1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5">
      <c r="C92" s="19"/>
      <c r="D92" s="19"/>
      <c r="E92" s="19"/>
      <c r="F92" s="19"/>
      <c r="G92" s="19"/>
      <c r="H92" s="19"/>
      <c r="I92" s="19"/>
      <c r="J92" s="19"/>
      <c r="K92" s="19"/>
    </row>
  </sheetData>
  <mergeCells count="2">
    <mergeCell ref="A3:K3"/>
    <mergeCell ref="A5:A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15"/>
  <sheetViews>
    <sheetView workbookViewId="0" topLeftCell="A1">
      <pane ySplit="9" topLeftCell="BM10" activePane="bottomLeft" state="frozen"/>
      <selection pane="topLeft" activeCell="A1" sqref="A1"/>
      <selection pane="bottomLeft" activeCell="A5" sqref="A5:J19"/>
    </sheetView>
  </sheetViews>
  <sheetFormatPr defaultColWidth="10.25390625" defaultRowHeight="15.75"/>
  <cols>
    <col min="1" max="1" width="13.75390625" style="3" customWidth="1"/>
    <col min="2" max="10" width="9.375" style="3" customWidth="1"/>
    <col min="11" max="16384" width="10.25390625" style="3" customWidth="1"/>
  </cols>
  <sheetData>
    <row r="4" spans="1:5" s="76" customFormat="1" ht="15.75" thickBot="1">
      <c r="A4" s="75"/>
      <c r="B4" s="75"/>
      <c r="C4" s="75"/>
      <c r="D4" s="75"/>
      <c r="E4" s="75"/>
    </row>
    <row r="5" spans="1:10" s="76" customFormat="1" ht="19.5" customHeight="1" thickTop="1">
      <c r="A5" s="156" t="s">
        <v>114</v>
      </c>
      <c r="B5" s="157"/>
      <c r="C5" s="157"/>
      <c r="D5" s="157"/>
      <c r="E5" s="157"/>
      <c r="F5" s="157"/>
      <c r="G5" s="157"/>
      <c r="H5" s="157"/>
      <c r="I5" s="157"/>
      <c r="J5" s="158"/>
    </row>
    <row r="6" spans="1:10" s="76" customFormat="1" ht="19.5" customHeight="1">
      <c r="A6" s="77"/>
      <c r="B6" s="78"/>
      <c r="C6" s="78"/>
      <c r="D6" s="78"/>
      <c r="E6" s="78"/>
      <c r="F6" s="78"/>
      <c r="G6" s="78"/>
      <c r="H6" s="79"/>
      <c r="I6" s="79"/>
      <c r="J6" s="80"/>
    </row>
    <row r="7" spans="1:10" s="81" customFormat="1" ht="19.5" customHeight="1">
      <c r="A7" s="184" t="s">
        <v>90</v>
      </c>
      <c r="B7" s="185"/>
      <c r="C7" s="185"/>
      <c r="D7" s="185"/>
      <c r="E7" s="185"/>
      <c r="F7" s="185"/>
      <c r="G7" s="185"/>
      <c r="H7" s="185"/>
      <c r="I7" s="185"/>
      <c r="J7" s="186"/>
    </row>
    <row r="8" spans="1:10" s="81" customFormat="1" ht="19.5" customHeight="1">
      <c r="A8" s="82"/>
      <c r="B8" s="181" t="s">
        <v>12</v>
      </c>
      <c r="C8" s="181" t="s">
        <v>91</v>
      </c>
      <c r="D8" s="181" t="s">
        <v>14</v>
      </c>
      <c r="E8" s="181" t="s">
        <v>15</v>
      </c>
      <c r="F8" s="181" t="s">
        <v>16</v>
      </c>
      <c r="G8" s="181" t="s">
        <v>17</v>
      </c>
      <c r="H8" s="181" t="s">
        <v>18</v>
      </c>
      <c r="I8" s="181" t="s">
        <v>19</v>
      </c>
      <c r="J8" s="183" t="s">
        <v>20</v>
      </c>
    </row>
    <row r="9" spans="1:10" s="76" customFormat="1" ht="19.5" customHeight="1">
      <c r="A9" s="83"/>
      <c r="B9" s="182"/>
      <c r="C9" s="182"/>
      <c r="D9" s="182"/>
      <c r="E9" s="182"/>
      <c r="F9" s="182"/>
      <c r="G9" s="182"/>
      <c r="H9" s="182"/>
      <c r="I9" s="182"/>
      <c r="J9" s="155"/>
    </row>
    <row r="10" spans="1:10" s="76" customFormat="1" ht="19.5" customHeight="1">
      <c r="A10" s="83">
        <v>1872</v>
      </c>
      <c r="B10" s="84">
        <v>0.02</v>
      </c>
      <c r="C10" s="84">
        <v>0.08</v>
      </c>
      <c r="D10" s="84">
        <f>'[5]TableB6'!B19</f>
        <v>0.18923393816503756</v>
      </c>
      <c r="E10" s="84">
        <f>'[5]TableB6'!C19</f>
        <v>0.2902846656004428</v>
      </c>
      <c r="F10" s="84">
        <f>'[5]TableB6'!D19-0.3</f>
        <v>0.7815139551898098</v>
      </c>
      <c r="G10" s="84">
        <f>'[5]TableB6'!E19</f>
        <v>1</v>
      </c>
      <c r="H10" s="84">
        <f>'[5]TableB6'!F19</f>
        <v>2.1146750627563726</v>
      </c>
      <c r="I10" s="84">
        <f>'[5]TableB6'!G19</f>
        <v>2.500119595442201</v>
      </c>
      <c r="J10" s="85">
        <f>'[5]TableB6'!H19</f>
        <v>3.0125904531782917</v>
      </c>
    </row>
    <row r="11" spans="1:10" s="76" customFormat="1" ht="19.5" customHeight="1">
      <c r="A11" s="83">
        <v>1882</v>
      </c>
      <c r="B11" s="84">
        <v>0.02</v>
      </c>
      <c r="C11" s="84">
        <v>0.08</v>
      </c>
      <c r="D11" s="84">
        <f>'[5]TableB6'!B20</f>
        <v>0.11947981239652385</v>
      </c>
      <c r="E11" s="84">
        <f>'[5]TableB6'!C20</f>
        <v>0.20985070344057102</v>
      </c>
      <c r="F11" s="84">
        <f>'[5]TableB6'!D20</f>
        <v>0.5041175617685733</v>
      </c>
      <c r="G11" s="84">
        <f>'[5]TableB6'!E20</f>
        <v>1</v>
      </c>
      <c r="H11" s="84">
        <f>'[5]TableB6'!F20</f>
        <v>1.5705510539396863</v>
      </c>
      <c r="I11" s="84">
        <f>'[5]TableB6'!G20</f>
        <v>2.4081108089823133</v>
      </c>
      <c r="J11" s="85">
        <f>'[5]TableB6'!H20</f>
        <v>3.8540155476255284</v>
      </c>
    </row>
    <row r="12" spans="1:10" s="76" customFormat="1" ht="19.5" customHeight="1">
      <c r="A12" s="83">
        <v>1912</v>
      </c>
      <c r="B12" s="84">
        <v>0.02</v>
      </c>
      <c r="C12" s="84">
        <v>0.08</v>
      </c>
      <c r="D12" s="84">
        <f>'[5]TableB6'!B21</f>
        <v>0.13066642177528873</v>
      </c>
      <c r="E12" s="84">
        <f>'[5]TableB6'!C21</f>
        <v>0.22911455773688988</v>
      </c>
      <c r="F12" s="84">
        <f>'[5]TableB6'!D21</f>
        <v>0.4768853219947329</v>
      </c>
      <c r="G12" s="84">
        <f>'[5]TableB6'!E21</f>
        <v>1</v>
      </c>
      <c r="H12" s="84">
        <f>'[5]TableB6'!F21</f>
        <v>2.154078771430267</v>
      </c>
      <c r="I12" s="84">
        <f>'[5]TableB6'!G21</f>
        <v>2.6266559584773095</v>
      </c>
      <c r="J12" s="85">
        <f>'[5]TableB6'!H21</f>
        <v>3.760483404366725</v>
      </c>
    </row>
    <row r="13" spans="1:10" s="76" customFormat="1" ht="19.5" customHeight="1">
      <c r="A13" s="83">
        <v>1922</v>
      </c>
      <c r="B13" s="84">
        <v>0.04</v>
      </c>
      <c r="C13" s="84">
        <v>0.1</v>
      </c>
      <c r="D13" s="84">
        <f>'[5]TableB6'!B22</f>
        <v>0.2553321077510845</v>
      </c>
      <c r="E13" s="84">
        <f>'[5]TableB6'!C22</f>
        <v>0.372484618269093</v>
      </c>
      <c r="F13" s="84">
        <f>'[5]TableB6'!D22</f>
        <v>0.7497424192760197</v>
      </c>
      <c r="G13" s="84">
        <f>'[5]TableB6'!E22</f>
        <v>1</v>
      </c>
      <c r="H13" s="84">
        <f>'[5]TableB6'!F22</f>
        <v>1.7432791000775016</v>
      </c>
      <c r="I13" s="84">
        <f>'[5]TableB6'!G22</f>
        <v>3.2825214012684536</v>
      </c>
      <c r="J13" s="85">
        <f>'[5]TableB6'!H22</f>
        <v>3.6752607574900487</v>
      </c>
    </row>
    <row r="14" spans="1:10" s="76" customFormat="1" ht="19.5" customHeight="1">
      <c r="A14" s="83">
        <v>1927</v>
      </c>
      <c r="B14" s="84">
        <v>0.02</v>
      </c>
      <c r="C14" s="84">
        <v>0.08</v>
      </c>
      <c r="D14" s="84">
        <f>'[5]TableB6'!B23</f>
        <v>0.1315894448099127</v>
      </c>
      <c r="E14" s="84">
        <f>'[5]TableB6'!C23</f>
        <v>0.26486972929243113</v>
      </c>
      <c r="F14" s="84">
        <f>'[5]TableB6'!D23</f>
        <v>0.5119949345063182</v>
      </c>
      <c r="G14" s="84">
        <f>'[5]TableB6'!E23</f>
        <v>1</v>
      </c>
      <c r="H14" s="84">
        <f>'[5]TableB6'!F23</f>
        <v>1.2873893352987857</v>
      </c>
      <c r="I14" s="84">
        <f>'[5]TableB6'!G23</f>
        <v>1.313638076752724</v>
      </c>
      <c r="J14" s="85">
        <f>'[5]TableB6'!H23</f>
        <v>1.9081897384453352</v>
      </c>
    </row>
    <row r="15" spans="1:10" s="76" customFormat="1" ht="19.5" customHeight="1">
      <c r="A15" s="83">
        <v>1932</v>
      </c>
      <c r="B15" s="84">
        <v>0.01</v>
      </c>
      <c r="C15" s="84">
        <v>0.07</v>
      </c>
      <c r="D15" s="84">
        <f>'[5]TableB6'!B24</f>
        <v>0.241104932011677</v>
      </c>
      <c r="E15" s="84">
        <f>'[5]TableB6'!C24</f>
        <v>0.3603962460960005</v>
      </c>
      <c r="F15" s="84">
        <f>'[5]TableB6'!D24</f>
        <v>0.5300221760140441</v>
      </c>
      <c r="G15" s="84">
        <f>'[5]TableB6'!E24</f>
        <v>1</v>
      </c>
      <c r="H15" s="84">
        <f>'[5]TableB6'!F24-1</f>
        <v>1.694875684757743</v>
      </c>
      <c r="I15" s="84">
        <f>'[5]TableB6'!G24</f>
        <v>2.6977795508194036</v>
      </c>
      <c r="J15" s="85">
        <f>'[5]TableB6'!H24</f>
        <v>2.9124593587133236</v>
      </c>
    </row>
    <row r="16" spans="1:10" s="76" customFormat="1" ht="19.5" customHeight="1" thickBot="1">
      <c r="A16" s="116">
        <v>1937</v>
      </c>
      <c r="B16" s="86">
        <v>0.01</v>
      </c>
      <c r="C16" s="86">
        <v>0.07</v>
      </c>
      <c r="D16" s="86">
        <f>'[5]TableB6'!B25</f>
        <v>0.24570936230781903</v>
      </c>
      <c r="E16" s="86">
        <f>'[5]TableB6'!C25</f>
        <v>0.3965653667718063</v>
      </c>
      <c r="F16" s="86">
        <f>'[5]TableB6'!D25-0.3</f>
        <v>0.7592488787379468</v>
      </c>
      <c r="G16" s="86">
        <f>'[5]TableB6'!E25</f>
        <v>1</v>
      </c>
      <c r="H16" s="86">
        <f>'[5]TableB6'!F25</f>
        <v>1.6742766991985312</v>
      </c>
      <c r="I16" s="86">
        <f>'[5]TableB6'!G25</f>
        <v>2.39893419263566</v>
      </c>
      <c r="J16" s="87">
        <f>'[5]TableB6'!H25</f>
        <v>2.971047631687475</v>
      </c>
    </row>
    <row r="17" spans="1:10" ht="15.75" thickTop="1">
      <c r="A17" s="138" t="s">
        <v>158</v>
      </c>
      <c r="B17" s="139"/>
      <c r="C17" s="139"/>
      <c r="D17" s="139"/>
      <c r="E17" s="139"/>
      <c r="F17" s="150"/>
      <c r="G17" s="150"/>
      <c r="H17" s="150"/>
      <c r="I17" s="150"/>
      <c r="J17" s="151"/>
    </row>
    <row r="18" spans="1:10" ht="15">
      <c r="A18" s="149" t="s">
        <v>157</v>
      </c>
      <c r="B18" s="97"/>
      <c r="C18" s="97"/>
      <c r="D18" s="97"/>
      <c r="E18" s="97"/>
      <c r="F18" s="6"/>
      <c r="G18" s="6"/>
      <c r="H18" s="6"/>
      <c r="I18" s="6"/>
      <c r="J18" s="98"/>
    </row>
    <row r="19" spans="1:10" ht="15.75" thickBot="1">
      <c r="A19" s="143" t="s">
        <v>144</v>
      </c>
      <c r="B19" s="144"/>
      <c r="C19" s="144"/>
      <c r="D19" s="144"/>
      <c r="E19" s="144"/>
      <c r="F19" s="152"/>
      <c r="G19" s="152"/>
      <c r="H19" s="152"/>
      <c r="I19" s="152"/>
      <c r="J19" s="153"/>
    </row>
    <row r="20" spans="1:5" ht="15.75" thickTop="1">
      <c r="A20" s="19"/>
      <c r="B20" s="19"/>
      <c r="C20" s="19"/>
      <c r="D20" s="19"/>
      <c r="E20" s="19"/>
    </row>
    <row r="21" spans="1:5" ht="15">
      <c r="A21" s="19"/>
      <c r="B21" s="19"/>
      <c r="C21" s="19"/>
      <c r="D21" s="19"/>
      <c r="E21" s="19"/>
    </row>
    <row r="22" spans="1:5" ht="15">
      <c r="A22" s="19"/>
      <c r="B22" s="19"/>
      <c r="C22" s="19"/>
      <c r="D22" s="19"/>
      <c r="E22" s="19"/>
    </row>
    <row r="23" spans="1:5" ht="15">
      <c r="A23" s="19"/>
      <c r="B23" s="19"/>
      <c r="C23" s="19"/>
      <c r="D23" s="19"/>
      <c r="E23" s="19"/>
    </row>
    <row r="24" spans="1:5" ht="15">
      <c r="A24" s="19"/>
      <c r="B24" s="19"/>
      <c r="C24" s="19"/>
      <c r="D24" s="19"/>
      <c r="E24" s="19"/>
    </row>
    <row r="25" spans="1:5" ht="15">
      <c r="A25" s="19"/>
      <c r="B25" s="19"/>
      <c r="C25" s="19"/>
      <c r="D25" s="19"/>
      <c r="E25" s="19"/>
    </row>
    <row r="26" spans="1:5" ht="15">
      <c r="A26" s="19"/>
      <c r="B26" s="19"/>
      <c r="C26" s="19"/>
      <c r="D26" s="19"/>
      <c r="E26" s="19"/>
    </row>
    <row r="27" spans="1:5" ht="15">
      <c r="A27" s="19"/>
      <c r="B27" s="19"/>
      <c r="C27" s="19"/>
      <c r="D27" s="19"/>
      <c r="E27" s="19"/>
    </row>
    <row r="28" spans="1:5" ht="15">
      <c r="A28" s="19"/>
      <c r="B28" s="19"/>
      <c r="C28" s="19"/>
      <c r="D28" s="19"/>
      <c r="E28" s="19"/>
    </row>
    <row r="29" spans="1:5" ht="15">
      <c r="A29" s="19"/>
      <c r="B29" s="19"/>
      <c r="C29" s="19"/>
      <c r="D29" s="19"/>
      <c r="E29" s="19"/>
    </row>
    <row r="30" spans="1:5" ht="15">
      <c r="A30" s="19"/>
      <c r="B30" s="19"/>
      <c r="C30" s="19"/>
      <c r="D30" s="19"/>
      <c r="E30" s="19"/>
    </row>
    <row r="31" spans="1:5" ht="15">
      <c r="A31" s="19"/>
      <c r="B31" s="19"/>
      <c r="C31" s="19"/>
      <c r="D31" s="19"/>
      <c r="E31" s="19"/>
    </row>
    <row r="32" spans="1:5" ht="15">
      <c r="A32" s="19"/>
      <c r="B32" s="19"/>
      <c r="C32" s="19"/>
      <c r="D32" s="19"/>
      <c r="E32" s="19"/>
    </row>
    <row r="33" spans="1:5" ht="15">
      <c r="A33" s="19"/>
      <c r="B33" s="19"/>
      <c r="C33" s="19"/>
      <c r="D33" s="19"/>
      <c r="E33" s="19"/>
    </row>
    <row r="34" spans="1:5" ht="15">
      <c r="A34" s="19"/>
      <c r="B34" s="19"/>
      <c r="C34" s="19"/>
      <c r="D34" s="19"/>
      <c r="E34" s="19"/>
    </row>
    <row r="35" spans="1:5" ht="15">
      <c r="A35" s="19"/>
      <c r="B35" s="19"/>
      <c r="C35" s="19"/>
      <c r="D35" s="19"/>
      <c r="E35" s="19"/>
    </row>
    <row r="36" spans="1:5" ht="15">
      <c r="A36" s="19"/>
      <c r="B36" s="19"/>
      <c r="C36" s="19"/>
      <c r="D36" s="19"/>
      <c r="E36" s="19"/>
    </row>
    <row r="37" spans="1:5" ht="15">
      <c r="A37" s="19"/>
      <c r="B37" s="19"/>
      <c r="C37" s="19"/>
      <c r="D37" s="19"/>
      <c r="E37" s="19"/>
    </row>
    <row r="38" spans="1:5" ht="15">
      <c r="A38" s="19"/>
      <c r="B38" s="19"/>
      <c r="C38" s="19"/>
      <c r="D38" s="19"/>
      <c r="E38" s="19"/>
    </row>
    <row r="39" spans="1:5" ht="15">
      <c r="A39" s="19"/>
      <c r="B39" s="19"/>
      <c r="C39" s="19"/>
      <c r="D39" s="19"/>
      <c r="E39" s="19"/>
    </row>
    <row r="40" spans="1:5" ht="15">
      <c r="A40" s="19"/>
      <c r="B40" s="19"/>
      <c r="C40" s="19"/>
      <c r="D40" s="19"/>
      <c r="E40" s="19"/>
    </row>
    <row r="41" spans="1:5" ht="15">
      <c r="A41" s="19"/>
      <c r="B41" s="19"/>
      <c r="C41" s="19"/>
      <c r="D41" s="19"/>
      <c r="E41" s="19"/>
    </row>
    <row r="42" spans="1:5" ht="15">
      <c r="A42" s="19"/>
      <c r="B42" s="19"/>
      <c r="C42" s="19"/>
      <c r="D42" s="19"/>
      <c r="E42" s="19"/>
    </row>
    <row r="43" spans="1:5" ht="15">
      <c r="A43" s="19"/>
      <c r="B43" s="19"/>
      <c r="C43" s="19"/>
      <c r="D43" s="19"/>
      <c r="E43" s="19"/>
    </row>
    <row r="44" spans="1:5" ht="15">
      <c r="A44" s="19"/>
      <c r="B44" s="19"/>
      <c r="C44" s="19"/>
      <c r="D44" s="19"/>
      <c r="E44" s="19"/>
    </row>
    <row r="45" spans="1:5" ht="15">
      <c r="A45" s="19"/>
      <c r="B45" s="19"/>
      <c r="C45" s="19"/>
      <c r="D45" s="19"/>
      <c r="E45" s="19"/>
    </row>
    <row r="46" spans="1:5" ht="15">
      <c r="A46" s="19"/>
      <c r="B46" s="19"/>
      <c r="C46" s="19"/>
      <c r="D46" s="19"/>
      <c r="E46" s="19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19"/>
      <c r="B49" s="19"/>
      <c r="C49" s="19"/>
      <c r="D49" s="19"/>
      <c r="E49" s="19"/>
    </row>
    <row r="50" spans="1:5" ht="15">
      <c r="A50" s="19"/>
      <c r="B50" s="19"/>
      <c r="C50" s="19"/>
      <c r="D50" s="19"/>
      <c r="E50" s="19"/>
    </row>
    <row r="51" spans="1:5" ht="15">
      <c r="A51" s="19"/>
      <c r="B51" s="19"/>
      <c r="C51" s="19"/>
      <c r="D51" s="19"/>
      <c r="E51" s="19"/>
    </row>
    <row r="52" spans="1:5" ht="15">
      <c r="A52" s="19"/>
      <c r="B52" s="19"/>
      <c r="C52" s="19"/>
      <c r="D52" s="19"/>
      <c r="E52" s="19"/>
    </row>
    <row r="53" spans="1:5" ht="15">
      <c r="A53" s="19"/>
      <c r="B53" s="19"/>
      <c r="C53" s="19"/>
      <c r="D53" s="19"/>
      <c r="E53" s="19"/>
    </row>
    <row r="54" spans="1:5" ht="15">
      <c r="A54" s="19"/>
      <c r="B54" s="19"/>
      <c r="C54" s="19"/>
      <c r="D54" s="19"/>
      <c r="E54" s="19"/>
    </row>
    <row r="55" spans="1:5" ht="15">
      <c r="A55" s="19"/>
      <c r="B55" s="19"/>
      <c r="C55" s="19"/>
      <c r="D55" s="19"/>
      <c r="E55" s="19"/>
    </row>
    <row r="56" spans="1:5" ht="15">
      <c r="A56" s="19"/>
      <c r="B56" s="19"/>
      <c r="C56" s="19"/>
      <c r="D56" s="19"/>
      <c r="E56" s="19"/>
    </row>
    <row r="57" spans="1:5" ht="15">
      <c r="A57" s="19"/>
      <c r="B57" s="19"/>
      <c r="C57" s="19"/>
      <c r="D57" s="19"/>
      <c r="E57" s="19"/>
    </row>
    <row r="58" spans="1:3" ht="15">
      <c r="A58" s="19"/>
      <c r="B58" s="19"/>
      <c r="C58" s="19"/>
    </row>
    <row r="59" spans="1:3" ht="15">
      <c r="A59" s="19"/>
      <c r="B59" s="19"/>
      <c r="C59" s="19"/>
    </row>
    <row r="60" spans="1:3" ht="15">
      <c r="A60" s="19"/>
      <c r="B60" s="19"/>
      <c r="C60" s="19"/>
    </row>
    <row r="61" spans="1:3" ht="15">
      <c r="A61" s="19"/>
      <c r="B61" s="19"/>
      <c r="C61" s="19"/>
    </row>
    <row r="62" spans="1:3" ht="15">
      <c r="A62" s="19"/>
      <c r="B62" s="19"/>
      <c r="C62" s="19"/>
    </row>
    <row r="63" spans="1:3" ht="15">
      <c r="A63" s="19"/>
      <c r="B63" s="19"/>
      <c r="C63" s="19"/>
    </row>
    <row r="64" spans="1:3" ht="15">
      <c r="A64" s="19"/>
      <c r="B64" s="19"/>
      <c r="C64" s="19"/>
    </row>
    <row r="65" spans="1:3" ht="15">
      <c r="A65" s="19"/>
      <c r="B65" s="19"/>
      <c r="C65" s="19"/>
    </row>
    <row r="66" spans="1:3" ht="15">
      <c r="A66" s="19"/>
      <c r="B66" s="19"/>
      <c r="C66" s="19"/>
    </row>
    <row r="67" spans="1:3" ht="15">
      <c r="A67" s="19"/>
      <c r="B67" s="19"/>
      <c r="C67" s="19"/>
    </row>
    <row r="68" spans="1:3" ht="15">
      <c r="A68" s="19"/>
      <c r="B68" s="19"/>
      <c r="C68" s="19"/>
    </row>
    <row r="69" spans="1:3" ht="15">
      <c r="A69" s="19"/>
      <c r="B69" s="19"/>
      <c r="C69" s="19"/>
    </row>
    <row r="70" spans="1:3" ht="15">
      <c r="A70" s="19"/>
      <c r="B70" s="19"/>
      <c r="C70" s="19"/>
    </row>
    <row r="71" spans="1:3" ht="15">
      <c r="A71" s="19"/>
      <c r="B71" s="19"/>
      <c r="C71" s="19"/>
    </row>
    <row r="72" spans="1:3" ht="15">
      <c r="A72" s="19"/>
      <c r="B72" s="19"/>
      <c r="C72" s="19"/>
    </row>
    <row r="73" spans="1:3" ht="15">
      <c r="A73" s="19"/>
      <c r="B73" s="19"/>
      <c r="C73" s="19"/>
    </row>
    <row r="74" spans="1:3" ht="15">
      <c r="A74" s="19"/>
      <c r="B74" s="19"/>
      <c r="C74" s="19"/>
    </row>
    <row r="75" spans="1:3" ht="15">
      <c r="A75" s="19"/>
      <c r="B75" s="19"/>
      <c r="C75" s="19"/>
    </row>
    <row r="76" spans="1:3" ht="15">
      <c r="A76" s="19"/>
      <c r="B76" s="19"/>
      <c r="C76" s="19"/>
    </row>
    <row r="77" spans="1:3" ht="15">
      <c r="A77" s="19"/>
      <c r="B77" s="19"/>
      <c r="C77" s="19"/>
    </row>
    <row r="78" spans="1:3" ht="15">
      <c r="A78" s="19"/>
      <c r="B78" s="19"/>
      <c r="C78" s="19"/>
    </row>
    <row r="79" spans="1:3" ht="15">
      <c r="A79" s="19"/>
      <c r="B79" s="19"/>
      <c r="C79" s="19"/>
    </row>
    <row r="80" spans="1:3" ht="15">
      <c r="A80" s="19"/>
      <c r="B80" s="19"/>
      <c r="C80" s="19"/>
    </row>
    <row r="81" spans="1:3" ht="15">
      <c r="A81" s="19"/>
      <c r="B81" s="19"/>
      <c r="C81" s="19"/>
    </row>
    <row r="82" spans="1:3" ht="15">
      <c r="A82" s="19"/>
      <c r="B82" s="19"/>
      <c r="C82" s="19"/>
    </row>
    <row r="83" spans="1:3" ht="15">
      <c r="A83" s="19"/>
      <c r="B83" s="19"/>
      <c r="C83" s="19"/>
    </row>
    <row r="84" spans="1:3" ht="15">
      <c r="A84" s="19"/>
      <c r="B84" s="19"/>
      <c r="C84" s="19"/>
    </row>
    <row r="85" spans="1:3" ht="15">
      <c r="A85" s="19"/>
      <c r="B85" s="19"/>
      <c r="C85" s="19"/>
    </row>
    <row r="86" spans="1:3" ht="15">
      <c r="A86" s="19"/>
      <c r="B86" s="19"/>
      <c r="C86" s="19"/>
    </row>
    <row r="87" spans="1:3" ht="15">
      <c r="A87" s="19"/>
      <c r="B87" s="19"/>
      <c r="C87" s="19"/>
    </row>
    <row r="88" spans="1:3" ht="15">
      <c r="A88" s="19"/>
      <c r="B88" s="19"/>
      <c r="C88" s="19"/>
    </row>
    <row r="89" spans="1:3" ht="15">
      <c r="A89" s="19"/>
      <c r="B89" s="19"/>
      <c r="C89" s="19"/>
    </row>
    <row r="90" spans="1:3" ht="15">
      <c r="A90" s="19"/>
      <c r="B90" s="19"/>
      <c r="C90" s="19"/>
    </row>
    <row r="91" spans="1:3" ht="15">
      <c r="A91" s="19"/>
      <c r="B91" s="19"/>
      <c r="C91" s="19"/>
    </row>
    <row r="92" spans="1:3" ht="15">
      <c r="A92" s="19"/>
      <c r="B92" s="19"/>
      <c r="C92" s="19"/>
    </row>
    <row r="93" spans="1:3" ht="15">
      <c r="A93" s="19"/>
      <c r="B93" s="19"/>
      <c r="C93" s="19"/>
    </row>
    <row r="94" spans="1:3" ht="15">
      <c r="A94" s="19"/>
      <c r="B94" s="19"/>
      <c r="C94" s="19"/>
    </row>
    <row r="95" spans="1:3" ht="15">
      <c r="A95" s="19"/>
      <c r="B95" s="19"/>
      <c r="C95" s="19"/>
    </row>
    <row r="96" spans="1:3" ht="15">
      <c r="A96" s="19"/>
      <c r="B96" s="19"/>
      <c r="C96" s="19"/>
    </row>
    <row r="97" spans="1:3" ht="15">
      <c r="A97" s="19"/>
      <c r="B97" s="19"/>
      <c r="C97" s="19"/>
    </row>
    <row r="98" spans="1:3" ht="15">
      <c r="A98" s="19"/>
      <c r="B98" s="19"/>
      <c r="C98" s="19"/>
    </row>
    <row r="99" spans="1:3" ht="15">
      <c r="A99" s="19"/>
      <c r="B99" s="19"/>
      <c r="C99" s="19"/>
    </row>
    <row r="100" spans="1:3" ht="15">
      <c r="A100" s="19"/>
      <c r="B100" s="19"/>
      <c r="C100" s="19"/>
    </row>
    <row r="101" spans="1:3" ht="15">
      <c r="A101" s="19"/>
      <c r="B101" s="19"/>
      <c r="C101" s="19"/>
    </row>
    <row r="102" spans="1:3" ht="15">
      <c r="A102" s="19"/>
      <c r="B102" s="19"/>
      <c r="C102" s="19"/>
    </row>
    <row r="103" spans="1:3" ht="15">
      <c r="A103" s="19"/>
      <c r="B103" s="19"/>
      <c r="C103" s="19"/>
    </row>
    <row r="104" spans="1:3" ht="15">
      <c r="A104" s="19"/>
      <c r="B104" s="19"/>
      <c r="C104" s="19"/>
    </row>
    <row r="105" spans="1:3" ht="15">
      <c r="A105" s="19"/>
      <c r="B105" s="19"/>
      <c r="C105" s="19"/>
    </row>
    <row r="106" spans="1:3" ht="15">
      <c r="A106" s="19"/>
      <c r="B106" s="19"/>
      <c r="C106" s="19"/>
    </row>
    <row r="107" spans="1:3" ht="15">
      <c r="A107" s="19"/>
      <c r="B107" s="19"/>
      <c r="C107" s="19"/>
    </row>
    <row r="108" spans="1:3" ht="15">
      <c r="A108" s="19"/>
      <c r="B108" s="19"/>
      <c r="C108" s="19"/>
    </row>
    <row r="109" spans="1:3" ht="15">
      <c r="A109" s="19"/>
      <c r="B109" s="19"/>
      <c r="C109" s="19"/>
    </row>
    <row r="110" spans="1:3" ht="15">
      <c r="A110" s="19"/>
      <c r="B110" s="19"/>
      <c r="C110" s="19"/>
    </row>
    <row r="111" spans="1:3" ht="15">
      <c r="A111" s="19"/>
      <c r="B111" s="19"/>
      <c r="C111" s="19"/>
    </row>
    <row r="112" spans="1:3" ht="15">
      <c r="A112" s="19"/>
      <c r="B112" s="19"/>
      <c r="C112" s="19"/>
    </row>
    <row r="113" spans="1:3" ht="15">
      <c r="A113" s="19"/>
      <c r="B113" s="19"/>
      <c r="C113" s="19"/>
    </row>
    <row r="114" spans="1:3" ht="15">
      <c r="A114" s="19"/>
      <c r="B114" s="19"/>
      <c r="C114" s="19"/>
    </row>
    <row r="115" spans="1:3" ht="15">
      <c r="A115" s="19"/>
      <c r="B115" s="19"/>
      <c r="C115" s="19"/>
    </row>
  </sheetData>
  <mergeCells count="11">
    <mergeCell ref="H8:H9"/>
    <mergeCell ref="I8:I9"/>
    <mergeCell ref="J8:J9"/>
    <mergeCell ref="A5:J5"/>
    <mergeCell ref="A7:J7"/>
    <mergeCell ref="B8:B9"/>
    <mergeCell ref="C8:C9"/>
    <mergeCell ref="D8:D9"/>
    <mergeCell ref="E8:E9"/>
    <mergeCell ref="F8:F9"/>
    <mergeCell ref="G8:G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workbookViewId="0" topLeftCell="A1">
      <selection activeCell="A2" sqref="A2:J35"/>
    </sheetView>
  </sheetViews>
  <sheetFormatPr defaultColWidth="10.25390625" defaultRowHeight="15.75"/>
  <cols>
    <col min="1" max="1" width="12.875" style="3" customWidth="1"/>
    <col min="2" max="10" width="9.375" style="3" customWidth="1"/>
    <col min="11" max="17" width="7.625" style="3" customWidth="1"/>
    <col min="18" max="16384" width="10.25390625" style="3" customWidth="1"/>
  </cols>
  <sheetData>
    <row r="1" spans="1:5" s="76" customFormat="1" ht="15.75" thickBot="1">
      <c r="A1" s="75"/>
      <c r="B1" s="75"/>
      <c r="C1" s="75"/>
      <c r="D1" s="75"/>
      <c r="E1" s="75"/>
    </row>
    <row r="2" spans="1:10" s="76" customFormat="1" ht="18" thickTop="1">
      <c r="A2" s="156" t="s">
        <v>115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0" s="76" customFormat="1" ht="15">
      <c r="A3" s="77"/>
      <c r="B3" s="88"/>
      <c r="C3" s="88"/>
      <c r="D3" s="88"/>
      <c r="E3" s="88"/>
      <c r="F3" s="88"/>
      <c r="G3" s="88"/>
      <c r="H3" s="88"/>
      <c r="I3" s="88"/>
      <c r="J3" s="89"/>
    </row>
    <row r="4" spans="1:10" s="76" customFormat="1" ht="15">
      <c r="A4" s="184" t="s">
        <v>92</v>
      </c>
      <c r="B4" s="185"/>
      <c r="C4" s="185"/>
      <c r="D4" s="185"/>
      <c r="E4" s="185"/>
      <c r="F4" s="185"/>
      <c r="G4" s="185"/>
      <c r="H4" s="185"/>
      <c r="I4" s="185"/>
      <c r="J4" s="186"/>
    </row>
    <row r="5" spans="1:10" s="76" customFormat="1" ht="15">
      <c r="A5" s="90"/>
      <c r="B5" s="181" t="s">
        <v>12</v>
      </c>
      <c r="C5" s="181" t="s">
        <v>91</v>
      </c>
      <c r="D5" s="181" t="s">
        <v>14</v>
      </c>
      <c r="E5" s="181" t="s">
        <v>15</v>
      </c>
      <c r="F5" s="181" t="s">
        <v>16</v>
      </c>
      <c r="G5" s="181" t="s">
        <v>17</v>
      </c>
      <c r="H5" s="181" t="s">
        <v>18</v>
      </c>
      <c r="I5" s="181" t="s">
        <v>19</v>
      </c>
      <c r="J5" s="183" t="s">
        <v>20</v>
      </c>
    </row>
    <row r="6" spans="1:10" s="76" customFormat="1" ht="15">
      <c r="A6" s="90"/>
      <c r="B6" s="182"/>
      <c r="C6" s="182"/>
      <c r="D6" s="182"/>
      <c r="E6" s="182"/>
      <c r="F6" s="182"/>
      <c r="G6" s="182"/>
      <c r="H6" s="182"/>
      <c r="I6" s="182"/>
      <c r="J6" s="155"/>
    </row>
    <row r="7" spans="1:10" s="76" customFormat="1" ht="18">
      <c r="A7" s="82" t="s">
        <v>93</v>
      </c>
      <c r="B7" s="91">
        <f>B37</f>
        <v>2</v>
      </c>
      <c r="C7" s="91">
        <f aca="true" t="shared" si="0" ref="C7:J7">C37</f>
        <v>2</v>
      </c>
      <c r="D7" s="91">
        <f t="shared" si="0"/>
        <v>2</v>
      </c>
      <c r="E7" s="91">
        <f t="shared" si="0"/>
        <v>2</v>
      </c>
      <c r="F7" s="91">
        <f t="shared" si="0"/>
        <v>2</v>
      </c>
      <c r="G7" s="91">
        <f t="shared" si="0"/>
        <v>1.8</v>
      </c>
      <c r="H7" s="91">
        <f t="shared" si="0"/>
        <v>1.5</v>
      </c>
      <c r="I7" s="91">
        <f t="shared" si="0"/>
        <v>1.3</v>
      </c>
      <c r="J7" s="92">
        <f t="shared" si="0"/>
        <v>1.1</v>
      </c>
    </row>
    <row r="8" spans="1:10" s="76" customFormat="1" ht="18.75">
      <c r="A8" s="82" t="s">
        <v>94</v>
      </c>
      <c r="B8" s="91">
        <f aca="true" t="shared" si="1" ref="B8:J8">2*B7/(1+B7)</f>
        <v>1.3333333333333333</v>
      </c>
      <c r="C8" s="91">
        <f t="shared" si="1"/>
        <v>1.3333333333333333</v>
      </c>
      <c r="D8" s="91">
        <f t="shared" si="1"/>
        <v>1.3333333333333333</v>
      </c>
      <c r="E8" s="91">
        <f t="shared" si="1"/>
        <v>1.3333333333333333</v>
      </c>
      <c r="F8" s="91">
        <f t="shared" si="1"/>
        <v>1.3333333333333333</v>
      </c>
      <c r="G8" s="91">
        <f t="shared" si="1"/>
        <v>1.2857142857142858</v>
      </c>
      <c r="H8" s="91">
        <f t="shared" si="1"/>
        <v>1.2</v>
      </c>
      <c r="I8" s="91">
        <f t="shared" si="1"/>
        <v>1.1304347826086958</v>
      </c>
      <c r="J8" s="92">
        <f t="shared" si="1"/>
        <v>1.0476190476190477</v>
      </c>
    </row>
    <row r="9" spans="1:10" s="76" customFormat="1" ht="20.25" customHeight="1">
      <c r="A9" s="82" t="s">
        <v>95</v>
      </c>
      <c r="B9" s="91">
        <f aca="true" t="shared" si="2" ref="B9:J9">2/(1+B7)</f>
        <v>0.6666666666666666</v>
      </c>
      <c r="C9" s="91">
        <f t="shared" si="2"/>
        <v>0.6666666666666666</v>
      </c>
      <c r="D9" s="91">
        <f t="shared" si="2"/>
        <v>0.6666666666666666</v>
      </c>
      <c r="E9" s="91">
        <f t="shared" si="2"/>
        <v>0.6666666666666666</v>
      </c>
      <c r="F9" s="91">
        <f t="shared" si="2"/>
        <v>0.6666666666666666</v>
      </c>
      <c r="G9" s="91">
        <f t="shared" si="2"/>
        <v>0.7142857142857143</v>
      </c>
      <c r="H9" s="91">
        <f t="shared" si="2"/>
        <v>0.8</v>
      </c>
      <c r="I9" s="91">
        <f t="shared" si="2"/>
        <v>0.8695652173913044</v>
      </c>
      <c r="J9" s="92">
        <f t="shared" si="2"/>
        <v>0.9523809523809523</v>
      </c>
    </row>
    <row r="10" spans="1:10" s="76" customFormat="1" ht="18">
      <c r="A10" s="82" t="s">
        <v>96</v>
      </c>
      <c r="B10" s="91">
        <v>0.01</v>
      </c>
      <c r="C10" s="91">
        <f>B10</f>
        <v>0.01</v>
      </c>
      <c r="D10" s="91">
        <f aca="true" t="shared" si="3" ref="D10:J10">C10</f>
        <v>0.01</v>
      </c>
      <c r="E10" s="91">
        <f t="shared" si="3"/>
        <v>0.01</v>
      </c>
      <c r="F10" s="91">
        <f t="shared" si="3"/>
        <v>0.01</v>
      </c>
      <c r="G10" s="91">
        <f t="shared" si="3"/>
        <v>0.01</v>
      </c>
      <c r="H10" s="91">
        <f t="shared" si="3"/>
        <v>0.01</v>
      </c>
      <c r="I10" s="91">
        <f t="shared" si="3"/>
        <v>0.01</v>
      </c>
      <c r="J10" s="92">
        <f t="shared" si="3"/>
        <v>0.01</v>
      </c>
    </row>
    <row r="11" spans="1:10" s="81" customFormat="1" ht="18">
      <c r="A11" s="82" t="s">
        <v>97</v>
      </c>
      <c r="B11" s="91">
        <f aca="true" t="shared" si="4" ref="B11:J11">B8*B10+B9*(1-B10)</f>
        <v>0.6733333333333332</v>
      </c>
      <c r="C11" s="91">
        <f t="shared" si="4"/>
        <v>0.6733333333333332</v>
      </c>
      <c r="D11" s="91">
        <f t="shared" si="4"/>
        <v>0.6733333333333332</v>
      </c>
      <c r="E11" s="91">
        <f t="shared" si="4"/>
        <v>0.6733333333333332</v>
      </c>
      <c r="F11" s="91">
        <f t="shared" si="4"/>
        <v>0.6733333333333332</v>
      </c>
      <c r="G11" s="91">
        <f t="shared" si="4"/>
        <v>0.7200000000000001</v>
      </c>
      <c r="H11" s="91">
        <f t="shared" si="4"/>
        <v>0.804</v>
      </c>
      <c r="I11" s="91">
        <f t="shared" si="4"/>
        <v>0.8721739130434782</v>
      </c>
      <c r="J11" s="92">
        <f t="shared" si="4"/>
        <v>0.9533333333333334</v>
      </c>
    </row>
    <row r="12" spans="1:17" s="81" customFormat="1" ht="18">
      <c r="A12" s="82" t="s">
        <v>98</v>
      </c>
      <c r="B12" s="91">
        <f>1/B11</f>
        <v>1.4851485148514854</v>
      </c>
      <c r="C12" s="91">
        <f aca="true" t="shared" si="5" ref="C12:J12">1/C11</f>
        <v>1.4851485148514854</v>
      </c>
      <c r="D12" s="91">
        <f t="shared" si="5"/>
        <v>1.4851485148514854</v>
      </c>
      <c r="E12" s="91">
        <f t="shared" si="5"/>
        <v>1.4851485148514854</v>
      </c>
      <c r="F12" s="91">
        <f t="shared" si="5"/>
        <v>1.4851485148514854</v>
      </c>
      <c r="G12" s="91">
        <f t="shared" si="5"/>
        <v>1.3888888888888886</v>
      </c>
      <c r="H12" s="91">
        <f t="shared" si="5"/>
        <v>1.243781094527363</v>
      </c>
      <c r="I12" s="91">
        <f t="shared" si="5"/>
        <v>1.1465603190428715</v>
      </c>
      <c r="J12" s="92">
        <f t="shared" si="5"/>
        <v>1.048951048951049</v>
      </c>
      <c r="K12" s="93"/>
      <c r="L12" s="93"/>
      <c r="M12" s="93"/>
      <c r="N12" s="93"/>
      <c r="O12" s="93"/>
      <c r="P12" s="93"/>
      <c r="Q12" s="93"/>
    </row>
    <row r="13" spans="1:10" s="81" customFormat="1" ht="15">
      <c r="A13" s="5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81" customFormat="1" ht="39.75" customHeight="1">
      <c r="A14" s="187" t="s">
        <v>145</v>
      </c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s="81" customFormat="1" ht="15">
      <c r="A15" s="82"/>
      <c r="B15" s="181" t="s">
        <v>12</v>
      </c>
      <c r="C15" s="181" t="s">
        <v>91</v>
      </c>
      <c r="D15" s="181" t="s">
        <v>14</v>
      </c>
      <c r="E15" s="181" t="s">
        <v>15</v>
      </c>
      <c r="F15" s="181" t="s">
        <v>16</v>
      </c>
      <c r="G15" s="181" t="s">
        <v>17</v>
      </c>
      <c r="H15" s="181" t="s">
        <v>18</v>
      </c>
      <c r="I15" s="181" t="s">
        <v>19</v>
      </c>
      <c r="J15" s="183" t="s">
        <v>20</v>
      </c>
    </row>
    <row r="16" spans="1:10" s="76" customFormat="1" ht="15">
      <c r="A16" s="83"/>
      <c r="B16" s="182"/>
      <c r="C16" s="182"/>
      <c r="D16" s="182"/>
      <c r="E16" s="182"/>
      <c r="F16" s="182"/>
      <c r="G16" s="182"/>
      <c r="H16" s="182"/>
      <c r="I16" s="182"/>
      <c r="J16" s="155"/>
    </row>
    <row r="17" spans="1:10" s="76" customFormat="1" ht="15">
      <c r="A17" s="83">
        <v>1872</v>
      </c>
      <c r="B17" s="84">
        <f>(TableC6!B10/TableC7!B$11)/(TableC6!$G10/TableC7!$G$11)</f>
        <v>0.021386138613861395</v>
      </c>
      <c r="C17" s="84">
        <f>(TableC6!C10/TableC7!C$11)/(TableC6!$G10/TableC7!$G$11)</f>
        <v>0.08554455445544558</v>
      </c>
      <c r="D17" s="84">
        <f>(TableC6!D10/TableC7!D$11)/(TableC6!$G10/TableC7!$G$11)</f>
        <v>0.20234916160221847</v>
      </c>
      <c r="E17" s="84">
        <f>(TableC6!E10/TableC7!E$11)/(TableC6!$G10/TableC7!$G$11)</f>
        <v>0.3104034048004736</v>
      </c>
      <c r="F17" s="84">
        <f>(TableC6!F10/TableC7!F$11)/(TableC6!$G10/TableC7!$G$11)</f>
        <v>0.8356782887178167</v>
      </c>
      <c r="G17" s="84">
        <f>(TableC6!G10/TableC7!G$11)/(TableC6!$G10/TableC7!$G$11)</f>
        <v>1</v>
      </c>
      <c r="H17" s="84">
        <f>(TableC6!H10/TableC7!H$11)/(TableC6!$G10/TableC7!$G$11)</f>
        <v>1.8937388621698863</v>
      </c>
      <c r="I17" s="84">
        <f>(TableC6!I10/TableC7!I$11)/(TableC6!$G10/TableC7!$G$11)</f>
        <v>2.0639073031167925</v>
      </c>
      <c r="J17" s="85">
        <f>(TableC6!J10/TableC7!J$11)/(TableC6!$G10/TableC7!$G$11)</f>
        <v>2.2752431394633255</v>
      </c>
    </row>
    <row r="18" spans="1:10" s="76" customFormat="1" ht="15">
      <c r="A18" s="83">
        <v>1882</v>
      </c>
      <c r="B18" s="84">
        <f>(TableC6!B11/TableC7!B$11)/(TableC6!$G11/TableC7!$G$11)</f>
        <v>0.021386138613861395</v>
      </c>
      <c r="C18" s="84">
        <f>(TableC6!C11/TableC7!C$11)/(TableC6!$G11/TableC7!$G$11)</f>
        <v>0.08554455445544558</v>
      </c>
      <c r="D18" s="84">
        <f>(TableC6!D11/TableC7!D$11)/(TableC6!$G11/TableC7!$G$11)</f>
        <v>0.12776059147351068</v>
      </c>
      <c r="E18" s="84">
        <f>(TableC6!E11/TableC7!E$11)/(TableC6!$G11/TableC7!$G$11)</f>
        <v>0.22439481159981858</v>
      </c>
      <c r="F18" s="84">
        <f>(TableC6!F11/TableC7!F$11)/(TableC6!$G11/TableC7!$G$11)</f>
        <v>0.539056402683227</v>
      </c>
      <c r="G18" s="84">
        <f>(TableC6!G11/TableC7!G$11)/(TableC6!$G11/TableC7!$G$11)</f>
        <v>1</v>
      </c>
      <c r="H18" s="84">
        <f>(TableC6!H11/TableC7!H$11)/(TableC6!$G11/TableC7!$G$11)</f>
        <v>1.4064636303937492</v>
      </c>
      <c r="I18" s="84">
        <f>(TableC6!I11/TableC7!I$11)/(TableC6!$G11/TableC7!$G$11)</f>
        <v>1.987951894154891</v>
      </c>
      <c r="J18" s="85">
        <f>(TableC6!J11/TableC7!J$11)/(TableC6!$G11/TableC7!$G$11)</f>
        <v>2.910725028975924</v>
      </c>
    </row>
    <row r="19" spans="1:10" s="76" customFormat="1" ht="15">
      <c r="A19" s="83">
        <v>1912</v>
      </c>
      <c r="B19" s="84">
        <f>(TableC6!B12/TableC7!B$11)/(TableC6!$G12/TableC7!$G$11)</f>
        <v>0.021386138613861395</v>
      </c>
      <c r="C19" s="84">
        <f>(TableC6!C12/TableC7!C$11)/(TableC6!$G12/TableC7!$G$11)</f>
        <v>0.08554455445544558</v>
      </c>
      <c r="D19" s="84">
        <f>(TableC6!D12/TableC7!D$11)/(TableC6!$G12/TableC7!$G$11)</f>
        <v>0.13972251041318007</v>
      </c>
      <c r="E19" s="84">
        <f>(TableC6!E12/TableC7!E$11)/(TableC6!$G12/TableC7!$G$11)</f>
        <v>0.24499378451073384</v>
      </c>
      <c r="F19" s="84">
        <f>(TableC6!F12/TableC7!F$11)/(TableC6!$G12/TableC7!$G$11)</f>
        <v>0.509936779954764</v>
      </c>
      <c r="G19" s="84">
        <f>(TableC6!G12/TableC7!G$11)/(TableC6!$G12/TableC7!$G$11)</f>
        <v>1</v>
      </c>
      <c r="H19" s="84">
        <f>(TableC6!H12/TableC7!H$11)/(TableC6!$G12/TableC7!$G$11)</f>
        <v>1.9290257654599408</v>
      </c>
      <c r="I19" s="84">
        <f>(TableC6!I12/TableC7!I$11)/(TableC6!$G12/TableC7!$G$11)</f>
        <v>2.168366035512675</v>
      </c>
      <c r="J19" s="85">
        <f>(TableC6!J12/TableC7!J$11)/(TableC6!$G12/TableC7!$G$11)</f>
        <v>2.8400853683329115</v>
      </c>
    </row>
    <row r="20" spans="1:10" s="76" customFormat="1" ht="15">
      <c r="A20" s="83">
        <v>1922</v>
      </c>
      <c r="B20" s="84">
        <f>(TableC6!B13/TableC7!B$11)/(TableC6!$G13/TableC7!$G$11)</f>
        <v>0.04277227722772279</v>
      </c>
      <c r="C20" s="84">
        <f>(TableC6!C13/TableC7!C$11)/(TableC6!$G13/TableC7!$G$11)</f>
        <v>0.10693069306930697</v>
      </c>
      <c r="D20" s="84">
        <f>(TableC6!D13/TableC7!D$11)/(TableC6!$G13/TableC7!$G$11)</f>
        <v>0.2730283924467043</v>
      </c>
      <c r="E20" s="84">
        <f>(TableC6!E13/TableC7!E$11)/(TableC6!$G13/TableC7!$G$11)</f>
        <v>0.3983003838917035</v>
      </c>
      <c r="F20" s="84">
        <f>(TableC6!F13/TableC7!F$11)/(TableC6!$G13/TableC7!$G$11)</f>
        <v>0.8017047651664373</v>
      </c>
      <c r="G20" s="84">
        <f>(TableC6!G13/TableC7!G$11)/(TableC6!$G13/TableC7!$G$11)</f>
        <v>1</v>
      </c>
      <c r="H20" s="84">
        <f>(TableC6!H13/TableC7!H$11)/(TableC6!$G13/TableC7!$G$11)</f>
        <v>1.5611454627559718</v>
      </c>
      <c r="I20" s="84">
        <f>(TableC6!I13/TableC7!I$11)/(TableC6!$G13/TableC7!$G$11)</f>
        <v>2.709798325274457</v>
      </c>
      <c r="J20" s="85">
        <f>(TableC6!J13/TableC7!J$11)/(TableC6!$G13/TableC7!$G$11)</f>
        <v>2.775721411251226</v>
      </c>
    </row>
    <row r="21" spans="1:10" s="76" customFormat="1" ht="15">
      <c r="A21" s="83">
        <v>1927</v>
      </c>
      <c r="B21" s="84">
        <f>(TableC6!B14/TableC7!B$11)/(TableC6!$G14/TableC7!$G$11)</f>
        <v>0.021386138613861395</v>
      </c>
      <c r="C21" s="84">
        <f>(TableC6!C14/TableC7!C$11)/(TableC6!$G14/TableC7!$G$11)</f>
        <v>0.08554455445544558</v>
      </c>
      <c r="D21" s="84">
        <f>(TableC6!D14/TableC7!D$11)/(TableC6!$G14/TableC7!$G$11)</f>
        <v>0.14070950534129284</v>
      </c>
      <c r="E21" s="84">
        <f>(TableC6!E14/TableC7!E$11)/(TableC6!$G14/TableC7!$G$11)</f>
        <v>0.2832270372631938</v>
      </c>
      <c r="F21" s="84">
        <f>(TableC6!F14/TableC7!F$11)/(TableC6!$G14/TableC7!$G$11)</f>
        <v>0.5474797319473502</v>
      </c>
      <c r="G21" s="84">
        <f>(TableC6!G14/TableC7!G$11)/(TableC6!$G14/TableC7!$G$11)</f>
        <v>1</v>
      </c>
      <c r="H21" s="84">
        <f>(TableC6!H14/TableC7!H$11)/(TableC6!$G14/TableC7!$G$11)</f>
        <v>1.1528859719093605</v>
      </c>
      <c r="I21" s="84">
        <f>(TableC6!I14/TableC7!I$11)/(TableC6!$G14/TableC7!$G$11)</f>
        <v>1.0844390105196966</v>
      </c>
      <c r="J21" s="85">
        <f>(TableC6!J14/TableC7!J$11)/(TableC6!$G14/TableC7!$G$11)</f>
        <v>1.441150291972701</v>
      </c>
    </row>
    <row r="22" spans="1:10" s="76" customFormat="1" ht="15">
      <c r="A22" s="83">
        <v>1932</v>
      </c>
      <c r="B22" s="84">
        <f>(TableC6!B15/TableC7!B$11)/(TableC6!$G15/TableC7!$G$11)</f>
        <v>0.010693069306930697</v>
      </c>
      <c r="C22" s="84">
        <f>(TableC6!C15/TableC7!C$11)/(TableC6!$G15/TableC7!$G$11)</f>
        <v>0.07485148514851488</v>
      </c>
      <c r="D22" s="84">
        <f>(TableC6!D15/TableC7!D$11)/(TableC6!$G15/TableC7!$G$11)</f>
        <v>0.25781517482436755</v>
      </c>
      <c r="E22" s="84">
        <f>(TableC6!E15/TableC7!E$11)/(TableC6!$G15/TableC7!$G$11)</f>
        <v>0.3853742037462185</v>
      </c>
      <c r="F22" s="84">
        <f>(TableC6!F15/TableC7!F$11)/(TableC6!$G15/TableC7!$G$11)</f>
        <v>0.5667563862328395</v>
      </c>
      <c r="G22" s="84">
        <f>(TableC6!G15/TableC7!G$11)/(TableC6!$G15/TableC7!$G$11)</f>
        <v>1</v>
      </c>
      <c r="H22" s="84">
        <f>(TableC6!H15/TableC7!H$11)/(TableC6!$G15/TableC7!$G$11)</f>
        <v>1.517799120678576</v>
      </c>
      <c r="I22" s="84">
        <f>(TableC6!I15/TableC7!I$11)/(TableC6!$G15/TableC7!$G$11)</f>
        <v>2.2270802273962778</v>
      </c>
      <c r="J22" s="85">
        <f>(TableC6!J15/TableC7!J$11)/(TableC6!$G15/TableC7!$G$11)</f>
        <v>2.199619655531741</v>
      </c>
    </row>
    <row r="23" spans="1:10" s="76" customFormat="1" ht="15.75" thickBot="1">
      <c r="A23" s="116">
        <v>1937</v>
      </c>
      <c r="B23" s="86">
        <f>(TableC6!B16/TableC7!B$11)/(TableC6!$G16/TableC7!$G$11)</f>
        <v>0.010693069306930697</v>
      </c>
      <c r="C23" s="86">
        <f>(TableC6!C16/TableC7!C$11)/(TableC6!$G16/TableC7!$G$11)</f>
        <v>0.07485148514851488</v>
      </c>
      <c r="D23" s="86">
        <f>(TableC6!D16/TableC7!D$11)/(TableC6!$G16/TableC7!$G$11)</f>
        <v>0.2627387240519254</v>
      </c>
      <c r="E23" s="86">
        <f>(TableC6!E16/TableC7!E$11)/(TableC6!$G16/TableC7!$G$11)</f>
        <v>0.42405009516193165</v>
      </c>
      <c r="F23" s="86">
        <f>(TableC6!F16/TableC7!F$11)/(TableC6!$G16/TableC7!$G$11)</f>
        <v>0.8118700881554285</v>
      </c>
      <c r="G23" s="86">
        <f>(TableC6!G16/TableC7!G$11)/(TableC6!$G16/TableC7!$G$11)</f>
        <v>1</v>
      </c>
      <c r="H23" s="86">
        <f>(TableC6!H16/TableC7!H$11)/(TableC6!$G16/TableC7!$G$11)</f>
        <v>1.4993522679389832</v>
      </c>
      <c r="I23" s="86">
        <f>(TableC6!I16/TableC7!I$11)/(TableC6!$G16/TableC7!$G$11)</f>
        <v>1.980376382355261</v>
      </c>
      <c r="J23" s="87">
        <f>(TableC6!J16/TableC7!J$11)/(TableC6!$G16/TableC7!$G$11)</f>
        <v>2.243868141414317</v>
      </c>
    </row>
    <row r="24" spans="1:10" ht="45" customHeight="1" thickTop="1">
      <c r="A24" s="187" t="s">
        <v>146</v>
      </c>
      <c r="B24" s="188"/>
      <c r="C24" s="188"/>
      <c r="D24" s="188"/>
      <c r="E24" s="188"/>
      <c r="F24" s="188"/>
      <c r="G24" s="188"/>
      <c r="H24" s="188"/>
      <c r="I24" s="188"/>
      <c r="J24" s="189"/>
    </row>
    <row r="25" spans="1:10" ht="15">
      <c r="A25" s="82"/>
      <c r="B25" s="181" t="s">
        <v>12</v>
      </c>
      <c r="C25" s="181" t="s">
        <v>91</v>
      </c>
      <c r="D25" s="181" t="s">
        <v>14</v>
      </c>
      <c r="E25" s="181" t="s">
        <v>15</v>
      </c>
      <c r="F25" s="181" t="s">
        <v>16</v>
      </c>
      <c r="G25" s="181" t="s">
        <v>17</v>
      </c>
      <c r="H25" s="181" t="s">
        <v>18</v>
      </c>
      <c r="I25" s="181" t="s">
        <v>19</v>
      </c>
      <c r="J25" s="183" t="s">
        <v>20</v>
      </c>
    </row>
    <row r="26" spans="1:10" ht="15">
      <c r="A26" s="83"/>
      <c r="B26" s="182"/>
      <c r="C26" s="182"/>
      <c r="D26" s="182"/>
      <c r="E26" s="182"/>
      <c r="F26" s="182"/>
      <c r="G26" s="182"/>
      <c r="H26" s="182"/>
      <c r="I26" s="182"/>
      <c r="J26" s="155"/>
    </row>
    <row r="27" spans="1:10" ht="15">
      <c r="A27" s="83">
        <v>1872</v>
      </c>
      <c r="B27" s="84"/>
      <c r="C27" s="84"/>
      <c r="D27" s="84">
        <f>MIN('[5]TableB6'!B53/D$9,0.5)+MAX(('[5]TableB6'!B53-0.5*D$9)/D$8,0)</f>
        <v>0.18411764705882352</v>
      </c>
      <c r="E27" s="84">
        <f>MIN('[5]TableB6'!C53/E$9,0.5)+MAX(('[5]TableB6'!C53-0.5*E$9)/E$8,0)</f>
        <v>0.3079684134960517</v>
      </c>
      <c r="F27" s="84">
        <f>MIN('[5]TableB6'!D53/F$9,0.5)+MAX(('[5]TableB6'!D53-0.5*F$9)/F$8,0)</f>
        <v>0.42609182530795076</v>
      </c>
      <c r="G27" s="84">
        <f>MIN('[5]TableB6'!E53/G$9,0.5)+MAX(('[5]TableB6'!E53-0.5*G$9)/G$8,0)</f>
        <v>0.4302141157811261</v>
      </c>
      <c r="H27" s="84">
        <f>MIN('[5]TableB6'!F53/H$9,0.5)+MAX(('[5]TableB6'!F53-0.5*H$9)/H$8,0)</f>
        <v>0.4797297297297297</v>
      </c>
      <c r="I27" s="84">
        <f>MIN('[5]TableB6'!G53/I$9,0.5)+MAX(('[5]TableB6'!G53-0.5*I$9)/I$8,0)</f>
        <v>0.46166150670794626</v>
      </c>
      <c r="J27" s="85">
        <f>MIN('[5]TableB6'!H53/J$9,0.5)+MAX(('[5]TableB6'!H53-0.5*J$9)/J$8,0)</f>
        <v>0.49181034482758623</v>
      </c>
    </row>
    <row r="28" spans="1:10" ht="15">
      <c r="A28" s="83">
        <v>1882</v>
      </c>
      <c r="B28" s="84"/>
      <c r="C28" s="84"/>
      <c r="D28" s="84">
        <f>MIN('[5]TableB6'!B54/D$9,0.5)+MAX(('[5]TableB6'!B54-0.5*D$9)/D$8,0)</f>
        <v>0.15079174664107486</v>
      </c>
      <c r="E28" s="84">
        <f>MIN('[5]TableB6'!C54/E$9,0.5)+MAX(('[5]TableB6'!C54-0.5*E$9)/E$8,0)</f>
        <v>0.2572614107883818</v>
      </c>
      <c r="F28" s="84">
        <f>MIN('[5]TableB6'!D54/F$9,0.5)+MAX(('[5]TableB6'!D54-0.5*F$9)/F$8,0)</f>
        <v>0.3609738884968243</v>
      </c>
      <c r="G28" s="84">
        <f>MIN('[5]TableB6'!E54/G$9,0.5)+MAX(('[5]TableB6'!E54-0.5*G$9)/G$8,0)</f>
        <v>0.4045933014354067</v>
      </c>
      <c r="H28" s="84">
        <f>MIN('[5]TableB6'!F54/H$9,0.5)+MAX(('[5]TableB6'!F54-0.5*H$9)/H$8,0)</f>
        <v>0.4072528883183569</v>
      </c>
      <c r="I28" s="84">
        <f>MIN('[5]TableB6'!G54/I$9,0.5)+MAX(('[5]TableB6'!G54-0.5*I$9)/I$8,0)</f>
        <v>0.4228900709219858</v>
      </c>
      <c r="J28" s="85">
        <f>MIN('[5]TableB6'!H54/J$9,0.5)+MAX(('[5]TableB6'!H54-0.5*J$9)/J$8,0)</f>
        <v>0.48810330228619814</v>
      </c>
    </row>
    <row r="29" spans="1:10" ht="15">
      <c r="A29" s="83">
        <v>1912</v>
      </c>
      <c r="B29" s="84"/>
      <c r="C29" s="84"/>
      <c r="D29" s="84">
        <f>MIN('[5]TableB6'!B55/D$9,0.5)+MAX(('[5]TableB6'!B55-0.5*D$9)/D$8,0)</f>
        <v>0.22957652550850285</v>
      </c>
      <c r="E29" s="84">
        <f>MIN('[5]TableB6'!C55/E$9,0.5)+MAX(('[5]TableB6'!C55-0.5*E$9)/E$8,0)</f>
        <v>0.3368155619596542</v>
      </c>
      <c r="F29" s="84">
        <f>MIN('[5]TableB6'!D55/F$9,0.5)+MAX(('[5]TableB6'!D55-0.5*F$9)/F$8,0)</f>
        <v>0.4148868682596744</v>
      </c>
      <c r="G29" s="84">
        <f>MIN('[5]TableB6'!E55/G$9,0.5)+MAX(('[5]TableB6'!E55-0.5*G$9)/G$8,0)</f>
        <v>0.42636954503249763</v>
      </c>
      <c r="H29" s="84">
        <f>MIN('[5]TableB6'!F55/H$9,0.5)+MAX(('[5]TableB6'!F55-0.5*H$9)/H$8,0)</f>
        <v>0.39686721594175123</v>
      </c>
      <c r="I29" s="84">
        <f>MIN('[5]TableB6'!G55/I$9,0.5)+MAX(('[5]TableB6'!G55-0.5*I$9)/I$8,0)</f>
        <v>0.36395549794772086</v>
      </c>
      <c r="J29" s="85">
        <f>MIN('[5]TableB6'!H55/J$9,0.5)+MAX(('[5]TableB6'!H55-0.5*J$9)/J$8,0)</f>
        <v>0.34840909090909095</v>
      </c>
    </row>
    <row r="30" spans="1:10" ht="15">
      <c r="A30" s="83">
        <v>1922</v>
      </c>
      <c r="B30" s="84"/>
      <c r="C30" s="84"/>
      <c r="D30" s="84">
        <f>MIN('[5]TableB6'!B56/D$9,0.5)+MAX(('[5]TableB6'!B56-0.5*D$9)/D$8,0)</f>
        <v>0.2027972027972028</v>
      </c>
      <c r="E30" s="84">
        <f>MIN('[5]TableB6'!C56/E$9,0.5)+MAX(('[5]TableB6'!C56-0.5*E$9)/E$8,0)</f>
        <v>0.3562281722933644</v>
      </c>
      <c r="F30" s="84">
        <f>MIN('[5]TableB6'!D56/F$9,0.5)+MAX(('[5]TableB6'!D56-0.5*F$9)/F$8,0)</f>
        <v>0.477607864554888</v>
      </c>
      <c r="G30" s="84">
        <f>MIN('[5]TableB6'!E56/G$9,0.5)+MAX(('[5]TableB6'!E56-0.5*G$9)/G$8,0)</f>
        <v>0.5130865361942938</v>
      </c>
      <c r="H30" s="84">
        <f>MIN('[5]TableB6'!F56/H$9,0.5)+MAX(('[5]TableB6'!F56-0.5*H$9)/H$8,0)</f>
        <v>0.47129012088370154</v>
      </c>
      <c r="I30" s="84">
        <f>MIN('[5]TableB6'!G56/I$9,0.5)+MAX(('[5]TableB6'!G56-0.5*I$9)/I$8,0)</f>
        <v>0.4090025755092484</v>
      </c>
      <c r="J30" s="85">
        <f>MIN('[5]TableB6'!H56/J$9,0.5)+MAX(('[5]TableB6'!H56-0.5*J$9)/J$8,0)</f>
        <v>0.36483465300419193</v>
      </c>
    </row>
    <row r="31" spans="1:10" ht="15">
      <c r="A31" s="83">
        <v>1927</v>
      </c>
      <c r="B31" s="84"/>
      <c r="C31" s="84"/>
      <c r="D31" s="84">
        <f>MIN('[5]TableB6'!B57/D$9,0.5)+MAX(('[5]TableB6'!B57-0.5*D$9)/D$8,0)</f>
        <v>0.21181172291296627</v>
      </c>
      <c r="E31" s="84">
        <f>MIN('[5]TableB6'!C57/E$9,0.5)+MAX(('[5]TableB6'!C57-0.5*E$9)/E$8,0)</f>
        <v>0.3758837391987432</v>
      </c>
      <c r="F31" s="84">
        <f>MIN('[5]TableB6'!D57/F$9,0.5)+MAX(('[5]TableB6'!D57-0.5*F$9)/F$8,0)</f>
        <v>0.4655751469353484</v>
      </c>
      <c r="G31" s="84">
        <f>MIN('[5]TableB6'!E57/G$9,0.5)+MAX(('[5]TableB6'!E57-0.5*G$9)/G$8,0)</f>
        <v>0.5133851468048359</v>
      </c>
      <c r="H31" s="84">
        <f>MIN('[5]TableB6'!F57/H$9,0.5)+MAX(('[5]TableB6'!F57-0.5*H$9)/H$8,0)</f>
        <v>0.46090554109334325</v>
      </c>
      <c r="I31" s="84">
        <f>MIN('[5]TableB6'!G57/I$9,0.5)+MAX(('[5]TableB6'!G57-0.5*I$9)/I$8,0)</f>
        <v>0.35783410138248845</v>
      </c>
      <c r="J31" s="85">
        <f>MIN('[5]TableB6'!H57/J$9,0.5)+MAX(('[5]TableB6'!H57-0.5*J$9)/J$8,0)</f>
        <v>0.3174039580908033</v>
      </c>
    </row>
    <row r="32" spans="1:10" ht="15">
      <c r="A32" s="83">
        <v>1932</v>
      </c>
      <c r="B32" s="84"/>
      <c r="C32" s="84"/>
      <c r="D32" s="84">
        <f>MIN('[5]TableB6'!B58/D$9,0.5)+MAX(('[5]TableB6'!B58-0.5*D$9)/D$8,0)</f>
        <v>0.29569298729983434</v>
      </c>
      <c r="E32" s="84">
        <f>MIN('[5]TableB6'!C58/E$9,0.5)+MAX(('[5]TableB6'!C58-0.5*E$9)/E$8,0)</f>
        <v>0.376530612244898</v>
      </c>
      <c r="F32" s="84">
        <f>MIN('[5]TableB6'!D58/F$9,0.5)+MAX(('[5]TableB6'!D58-0.5*F$9)/F$8,0)</f>
        <v>0.5150289899298139</v>
      </c>
      <c r="G32" s="84">
        <f>MIN('[5]TableB6'!E58/G$9,0.5)+MAX(('[5]TableB6'!E58-0.5*G$9)/G$8,0)</f>
        <v>0.5504455229437897</v>
      </c>
      <c r="H32" s="84">
        <f>MIN('[5]TableB6'!F58/H$9,0.5)+MAX(('[5]TableB6'!F58-0.5*H$9)/H$8,0)</f>
        <v>0.5353673027189487</v>
      </c>
      <c r="I32" s="84">
        <f>MIN('[5]TableB6'!G58/I$9,0.5)+MAX(('[5]TableB6'!G58-0.5*I$9)/I$8,0)</f>
        <v>0.4736789741322131</v>
      </c>
      <c r="J32" s="85">
        <f>MIN('[5]TableB6'!H58/J$9,0.5)+MAX(('[5]TableB6'!H58-0.5*J$9)/J$8,0)</f>
        <v>0.40043478260869564</v>
      </c>
    </row>
    <row r="33" spans="1:10" ht="15.75" thickBot="1">
      <c r="A33" s="116">
        <v>1937</v>
      </c>
      <c r="B33" s="86"/>
      <c r="C33" s="86"/>
      <c r="D33" s="86">
        <f>MIN('[5]TableB6'!B59/D$9,0.5)+MAX(('[5]TableB6'!B59-0.5*D$9)/D$8,0)</f>
        <v>0.3434518647007806</v>
      </c>
      <c r="E33" s="86">
        <f>MIN('[5]TableB6'!C59/E$9,0.5)+MAX(('[5]TableB6'!C59-0.5*E$9)/E$8,0)</f>
        <v>0.4473931423203382</v>
      </c>
      <c r="F33" s="86">
        <f>MIN('[5]TableB6'!D59/F$9,0.5)+MAX(('[5]TableB6'!D59-0.5*F$9)/F$8,0)</f>
        <v>0.5284798860804557</v>
      </c>
      <c r="G33" s="86">
        <f>MIN('[5]TableB6'!E59/G$9,0.5)+MAX(('[5]TableB6'!E59-0.5*G$9)/G$8,0)</f>
        <v>0.5855475040257648</v>
      </c>
      <c r="H33" s="86">
        <f>MIN('[5]TableB6'!F59/H$9,0.5)+MAX(('[5]TableB6'!F59-0.5*H$9)/H$8,0)</f>
        <v>0.5717441692017963</v>
      </c>
      <c r="I33" s="86">
        <f>MIN('[5]TableB6'!G59/I$9,0.5)+MAX(('[5]TableB6'!G59-0.5*I$9)/I$8,0)</f>
        <v>0.5257528074429483</v>
      </c>
      <c r="J33" s="87">
        <f>MIN('[5]TableB6'!H59/J$9,0.5)+MAX(('[5]TableB6'!H59-0.5*J$9)/J$8,0)</f>
        <v>0.44070080862533695</v>
      </c>
    </row>
    <row r="34" spans="1:10" ht="15.75" thickTop="1">
      <c r="A34" s="154" t="s">
        <v>165</v>
      </c>
      <c r="B34" s="150"/>
      <c r="C34" s="150"/>
      <c r="D34" s="150"/>
      <c r="E34" s="150"/>
      <c r="F34" s="150"/>
      <c r="G34" s="150"/>
      <c r="H34" s="150"/>
      <c r="I34" s="150"/>
      <c r="J34" s="151"/>
    </row>
    <row r="35" spans="1:10" ht="15.75" thickBot="1">
      <c r="A35" s="143" t="s">
        <v>166</v>
      </c>
      <c r="B35" s="152"/>
      <c r="C35" s="152"/>
      <c r="D35" s="152"/>
      <c r="E35" s="152"/>
      <c r="F35" s="152"/>
      <c r="G35" s="152"/>
      <c r="H35" s="152"/>
      <c r="I35" s="152"/>
      <c r="J35" s="153"/>
    </row>
    <row r="36" ht="15.75" thickTop="1">
      <c r="A36" s="19"/>
    </row>
    <row r="37" spans="1:10" ht="18">
      <c r="A37" s="82" t="s">
        <v>93</v>
      </c>
      <c r="B37" s="91">
        <v>2</v>
      </c>
      <c r="C37" s="91">
        <v>2</v>
      </c>
      <c r="D37" s="91">
        <v>2</v>
      </c>
      <c r="E37" s="91">
        <v>2</v>
      </c>
      <c r="F37" s="91">
        <v>2</v>
      </c>
      <c r="G37" s="91">
        <v>1.8</v>
      </c>
      <c r="H37" s="91">
        <v>1.5</v>
      </c>
      <c r="I37" s="91">
        <v>1.3</v>
      </c>
      <c r="J37" s="92">
        <v>1.1</v>
      </c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spans="1:3" ht="15">
      <c r="A127" s="19"/>
      <c r="B127" s="19"/>
      <c r="C127" s="19"/>
    </row>
    <row r="128" spans="1:3" ht="15">
      <c r="A128" s="19"/>
      <c r="B128" s="19"/>
      <c r="C128" s="19"/>
    </row>
    <row r="129" spans="1:3" ht="15">
      <c r="A129" s="19"/>
      <c r="B129" s="19"/>
      <c r="C129" s="19"/>
    </row>
  </sheetData>
  <mergeCells count="31">
    <mergeCell ref="A24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G15:G16"/>
    <mergeCell ref="H15:H16"/>
    <mergeCell ref="I15:I16"/>
    <mergeCell ref="J15:J16"/>
    <mergeCell ref="A2:J2"/>
    <mergeCell ref="A4:J4"/>
    <mergeCell ref="A14:J14"/>
    <mergeCell ref="B15:B16"/>
    <mergeCell ref="C15:C16"/>
    <mergeCell ref="D15:D16"/>
    <mergeCell ref="E15:E16"/>
    <mergeCell ref="F15:F16"/>
    <mergeCell ref="B5:B6"/>
    <mergeCell ref="C5:C6"/>
    <mergeCell ref="D5:D6"/>
    <mergeCell ref="E5:E6"/>
    <mergeCell ref="J5:J6"/>
    <mergeCell ref="F5:F6"/>
    <mergeCell ref="G5:G6"/>
    <mergeCell ref="H5:H6"/>
    <mergeCell ref="I5:I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13"/>
  <sheetViews>
    <sheetView workbookViewId="0" topLeftCell="A1">
      <pane ySplit="9" topLeftCell="BM10" activePane="bottomLeft" state="frozen"/>
      <selection pane="topLeft" activeCell="A1" sqref="A1"/>
      <selection pane="bottomLeft" activeCell="A17" sqref="A17"/>
    </sheetView>
  </sheetViews>
  <sheetFormatPr defaultColWidth="10.25390625" defaultRowHeight="15.75"/>
  <cols>
    <col min="1" max="5" width="7.625" style="3" customWidth="1"/>
    <col min="6" max="11" width="8.125" style="3" customWidth="1"/>
    <col min="12" max="13" width="8.50390625" style="3" customWidth="1"/>
    <col min="14" max="40" width="7.625" style="3" customWidth="1"/>
    <col min="41" max="16384" width="10.25390625" style="3" customWidth="1"/>
  </cols>
  <sheetData>
    <row r="4" spans="1:15" s="76" customFormat="1" ht="15.75" thickBot="1">
      <c r="A4" s="75"/>
      <c r="B4" s="96"/>
      <c r="C4" s="96"/>
      <c r="D4" s="96"/>
      <c r="E4" s="96"/>
      <c r="F4" s="96"/>
      <c r="G4" s="75"/>
      <c r="H4" s="75"/>
      <c r="I4" s="75"/>
      <c r="J4" s="75"/>
      <c r="K4" s="75"/>
      <c r="L4" s="75"/>
      <c r="M4" s="75"/>
      <c r="N4" s="75"/>
      <c r="O4" s="75"/>
    </row>
    <row r="5" spans="1:15" s="81" customFormat="1" ht="19.5" customHeight="1" thickTop="1">
      <c r="A5" s="193" t="s">
        <v>116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</row>
    <row r="6" spans="1:15" s="81" customFormat="1" ht="19.5" customHeight="1">
      <c r="A6" s="5"/>
      <c r="B6" s="97"/>
      <c r="C6" s="97"/>
      <c r="D6" s="97"/>
      <c r="E6" s="97"/>
      <c r="F6" s="97"/>
      <c r="G6" s="97"/>
      <c r="H6" s="97"/>
      <c r="I6" s="97"/>
      <c r="J6" s="97"/>
      <c r="K6" s="97"/>
      <c r="L6" s="6"/>
      <c r="M6" s="6"/>
      <c r="N6" s="6"/>
      <c r="O6" s="98"/>
    </row>
    <row r="7" spans="1:15" s="81" customFormat="1" ht="19.5" customHeight="1">
      <c r="A7" s="5"/>
      <c r="B7" s="99" t="s">
        <v>1</v>
      </c>
      <c r="C7" s="99" t="s">
        <v>2</v>
      </c>
      <c r="D7" s="99" t="s">
        <v>3</v>
      </c>
      <c r="E7" s="99" t="s">
        <v>4</v>
      </c>
      <c r="F7" s="99" t="s">
        <v>5</v>
      </c>
      <c r="G7" s="100" t="s">
        <v>6</v>
      </c>
      <c r="H7" s="99" t="s">
        <v>7</v>
      </c>
      <c r="I7" s="99" t="s">
        <v>8</v>
      </c>
      <c r="J7" s="99" t="s">
        <v>9</v>
      </c>
      <c r="K7" s="101" t="s">
        <v>10</v>
      </c>
      <c r="L7" s="102" t="s">
        <v>66</v>
      </c>
      <c r="M7" s="103" t="s">
        <v>99</v>
      </c>
      <c r="N7" s="99" t="s">
        <v>100</v>
      </c>
      <c r="O7" s="104" t="s">
        <v>101</v>
      </c>
    </row>
    <row r="8" spans="1:15" s="81" customFormat="1" ht="19.5" customHeight="1">
      <c r="A8" s="5"/>
      <c r="B8" s="190" t="s">
        <v>102</v>
      </c>
      <c r="C8" s="191"/>
      <c r="D8" s="191"/>
      <c r="E8" s="191"/>
      <c r="F8" s="192"/>
      <c r="G8" s="190" t="s">
        <v>103</v>
      </c>
      <c r="H8" s="191"/>
      <c r="I8" s="191"/>
      <c r="J8" s="191"/>
      <c r="K8" s="192"/>
      <c r="L8" s="196" t="s">
        <v>104</v>
      </c>
      <c r="M8" s="197"/>
      <c r="N8" s="198" t="s">
        <v>105</v>
      </c>
      <c r="O8" s="200" t="s">
        <v>106</v>
      </c>
    </row>
    <row r="9" spans="1:15" s="76" customFormat="1" ht="39.75" customHeight="1">
      <c r="A9" s="77"/>
      <c r="B9" s="105" t="s">
        <v>107</v>
      </c>
      <c r="C9" s="105" t="s">
        <v>108</v>
      </c>
      <c r="D9" s="105" t="s">
        <v>109</v>
      </c>
      <c r="E9" s="105" t="s">
        <v>110</v>
      </c>
      <c r="F9" s="105" t="s">
        <v>111</v>
      </c>
      <c r="G9" s="106" t="s">
        <v>107</v>
      </c>
      <c r="H9" s="105" t="s">
        <v>108</v>
      </c>
      <c r="I9" s="105" t="s">
        <v>109</v>
      </c>
      <c r="J9" s="105" t="s">
        <v>110</v>
      </c>
      <c r="K9" s="107" t="s">
        <v>111</v>
      </c>
      <c r="L9" s="108" t="s">
        <v>112</v>
      </c>
      <c r="M9" s="109" t="s">
        <v>113</v>
      </c>
      <c r="N9" s="199"/>
      <c r="O9" s="201"/>
    </row>
    <row r="10" spans="1:15" s="76" customFormat="1" ht="19.5" customHeight="1">
      <c r="A10" s="83">
        <v>1872</v>
      </c>
      <c r="B10" s="110">
        <f>(SUMPRODUCT(TableC6!$B10:$J10,TableC4!$C8:$K8)/SUM(TableC4!$C8:$K8))/(SUMPRODUCT(TableC6!$B10:$J10,TableC2!$C8:$K8)/SUM(TableC2!$C8:$K8))</f>
        <v>2.3549465984405136</v>
      </c>
      <c r="C10" s="110">
        <f>(SUMPRODUCT(TableC6!$D10:$J10,TableC4!$E8:$K8)/SUM(TableC4!$E8:$K8))/(SUMPRODUCT(TableC6!$D10:$J10,TableC2!$E8:$K8)/SUM(TableC2!$E8:$K8))</f>
        <v>1.765014026009638</v>
      </c>
      <c r="D10" s="84">
        <f aca="true" t="shared" si="0" ref="D10:D16">F10/E10</f>
        <v>0.9715809298599539</v>
      </c>
      <c r="E10" s="84">
        <f>SUMPRODUCT(TableC6!$D10:$J10,TableC4!$E8:$K8)/SUMPRODUCT(TableC6!$B10:$J10,TableC4!$C8:$K8)</f>
        <v>1</v>
      </c>
      <c r="F10" s="111">
        <f>SUMPRODUCT(TableC6!$D10:$J10,TableC2!$E8:$K8)/SUMPRODUCT(TableC6!$B10:$J10,TableC2!$C8:$K8)</f>
        <v>0.9715809298599539</v>
      </c>
      <c r="G10" s="110">
        <f>TableC7!$G$11*(SUMPRODUCT(TableC6!$B10:$J10,TableC4!$C8:$K8)/SUM(TableC4!$C8:$K8))/(SUMPRODUCT(TableC7!$B17:$J17,TableC2!$C8:$K8)/SUM(TableC2!$C8:$K8))</f>
        <v>1.7185769747054487</v>
      </c>
      <c r="H10" s="110">
        <f>TableC7!$G$11*(SUMPRODUCT(TableC6!$D10:$J10,TableC4!$E8:$K8)/SUM(TableC4!$E8:$K8))/(SUMPRODUCT(TableC7!$D17:$J17,TableC2!$E8:$K8)/SUM(TableC2!$E8:$K8))</f>
        <v>1.2912258198964504</v>
      </c>
      <c r="I10" s="84">
        <f aca="true" t="shared" si="1" ref="I10:I16">K10/J10</f>
        <v>0.969198797309952</v>
      </c>
      <c r="J10" s="84">
        <f>SUMPRODUCT(TableC6!$D10:$J10,TableC4!$E8:$K8)/SUMPRODUCT(TableC6!$B10:$J10,TableC4!$C8:$K8)</f>
        <v>1</v>
      </c>
      <c r="K10" s="111">
        <f>SUMPRODUCT(TableC7!$D17:$J17,TableC2!$E8:$K8)/SUMPRODUCT(TableC7!$B17:$J17,TableC2!$C8:$K8)</f>
        <v>0.969198797309952</v>
      </c>
      <c r="L10" s="112">
        <f aca="true" t="shared" si="2" ref="L10:L16">H10*I10</f>
        <v>1.2514545116991964</v>
      </c>
      <c r="M10" s="113">
        <f>L10*'[4]TableA3'!$K8</f>
        <v>1.5509218490188479</v>
      </c>
      <c r="N10" s="114">
        <f>1/(SUMPRODUCT(TableC7!D17:J17,'[6]TableC3'!$E10:$K10)/SUM('[6]TableC3'!$E10:$K10))</f>
        <v>1.339212056849765</v>
      </c>
      <c r="O10" s="115">
        <f aca="true" t="shared" si="3" ref="O10:O16">N10*K10</f>
        <v>1.2979627148417792</v>
      </c>
    </row>
    <row r="11" spans="1:15" s="76" customFormat="1" ht="19.5" customHeight="1">
      <c r="A11" s="83">
        <v>1882</v>
      </c>
      <c r="B11" s="110">
        <f>(SUMPRODUCT(TableC6!$B11:$J11,TableC4!$C9:$K9)/SUM(TableC4!$C9:$K9))/(SUMPRODUCT(TableC6!$B11:$J11,TableC2!$C9:$K9)/SUM(TableC2!$C9:$K9))</f>
        <v>2.596038160864693</v>
      </c>
      <c r="C11" s="110">
        <f>(SUMPRODUCT(TableC6!$D11:$J11,TableC4!$E9:$K9)/SUM(TableC4!$E9:$K9))/(SUMPRODUCT(TableC6!$D11:$J11,TableC2!$E9:$K9)/SUM(TableC2!$E9:$K9))</f>
        <v>1.9601166717009022</v>
      </c>
      <c r="D11" s="84">
        <f>F11/E11</f>
        <v>0.9644400326243773</v>
      </c>
      <c r="E11" s="84">
        <f>SUMPRODUCT(TableC6!$D11:$J11,TableC4!$E9:$K9)/SUMPRODUCT(TableC6!$B11:$J11,TableC4!$C9:$K9)</f>
        <v>1</v>
      </c>
      <c r="F11" s="111">
        <f>SUMPRODUCT(TableC6!$D11:$J11,TableC2!$E9:$K9)/SUMPRODUCT(TableC6!$B11:$J11,TableC2!$C9:$K9)</f>
        <v>0.9644400326243773</v>
      </c>
      <c r="G11" s="110">
        <f>TableC7!$G$11*(SUMPRODUCT(TableC6!$B11:$J11,TableC4!$C9:$K9)/SUM(TableC4!$C9:$K9))/(SUMPRODUCT(TableC7!$B18:$J18,TableC2!$C9:$K9)/SUM(TableC2!$C9:$K9))</f>
        <v>1.9140453599017648</v>
      </c>
      <c r="H11" s="110">
        <f>TableC7!$G$11*(SUMPRODUCT(TableC6!$D11:$J11,TableC4!$E9:$K9)/SUM(TableC4!$E9:$K9))/(SUMPRODUCT(TableC7!$D18:$J18,TableC2!$E9:$K9)/SUM(TableC2!$E9:$K9))</f>
        <v>1.450263272778316</v>
      </c>
      <c r="I11" s="84">
        <f>K11/J11</f>
        <v>0.9610621119056587</v>
      </c>
      <c r="J11" s="84">
        <f>SUMPRODUCT(TableC6!$D11:$J11,TableC4!$E9:$K9)/SUMPRODUCT(TableC6!$B11:$J11,TableC4!$C9:$K9)</f>
        <v>1</v>
      </c>
      <c r="K11" s="111">
        <f>SUMPRODUCT(TableC7!$D18:$J18,TableC2!$E9:$K9)/SUMPRODUCT(TableC7!$B18:$J18,TableC2!$C9:$K9)</f>
        <v>0.9610621119056587</v>
      </c>
      <c r="L11" s="112">
        <f>H11*I11</f>
        <v>1.3937930837555408</v>
      </c>
      <c r="M11" s="113">
        <f>L11*'[4]TableA3'!$K9</f>
        <v>1.7034795029373693</v>
      </c>
      <c r="N11" s="114">
        <f>1/(SUMPRODUCT(TableC7!D18:J18,'[6]TableC3'!$E10:$K10)/SUM('[6]TableC3'!$E10:$K10))</f>
        <v>1.6522945022779807</v>
      </c>
      <c r="O11" s="115">
        <f>N11*K11</f>
        <v>1.5879576438493854</v>
      </c>
    </row>
    <row r="12" spans="1:15" s="76" customFormat="1" ht="19.5" customHeight="1">
      <c r="A12" s="83">
        <v>1912</v>
      </c>
      <c r="B12" s="110">
        <f>(SUMPRODUCT(TableC6!$B12:$J12,TableC4!$C10:$K10)/SUM(TableC4!$C10:$K10))/(SUMPRODUCT(TableC6!$B12:$J12,TableC2!$C10:$K10)/SUM(TableC2!$C10:$K10))</f>
        <v>3.1242088135085755</v>
      </c>
      <c r="C12" s="110">
        <f>(SUMPRODUCT(TableC6!$D12:$J12,TableC4!$E10:$K10)/SUM(TableC4!$E10:$K10))/(SUMPRODUCT(TableC6!$D12:$J12,TableC2!$E10:$K10)/SUM(TableC2!$E10:$K10))</f>
        <v>2.4035010768848615</v>
      </c>
      <c r="D12" s="84">
        <f t="shared" si="0"/>
        <v>0.9698296066476995</v>
      </c>
      <c r="E12" s="84">
        <f>SUMPRODUCT(TableC6!$D12:$J12,TableC4!$E10:$K10)/SUMPRODUCT(TableC6!$B12:$J12,TableC4!$C10:$K10)</f>
        <v>1</v>
      </c>
      <c r="F12" s="111">
        <f>SUMPRODUCT(TableC6!$D12:$J12,TableC2!$E10:$K10)/SUMPRODUCT(TableC6!$B12:$J12,TableC2!$C10:$K10)</f>
        <v>0.9698296066476995</v>
      </c>
      <c r="G12" s="110">
        <f>TableC7!$G$11*(SUMPRODUCT(TableC6!$B12:$J12,TableC4!$C10:$K10)/SUM(TableC4!$C10:$K10))/(SUMPRODUCT(TableC7!$B19:$J19,TableC2!$C10:$K10)/SUM(TableC2!$C10:$K10))</f>
        <v>2.3302601781614567</v>
      </c>
      <c r="H12" s="110">
        <f>TableC7!$G$11*(SUMPRODUCT(TableC6!$D12:$J12,TableC4!$E10:$K10)/SUM(TableC4!$E10:$K10))/(SUMPRODUCT(TableC7!$D19:$J19,TableC2!$E10:$K10)/SUM(TableC2!$E10:$K10))</f>
        <v>1.7987326504725645</v>
      </c>
      <c r="I12" s="84">
        <f t="shared" si="1"/>
        <v>0.9665793249302127</v>
      </c>
      <c r="J12" s="84">
        <f>SUMPRODUCT(TableC6!$D12:$J12,TableC4!$E10:$K10)/SUMPRODUCT(TableC6!$B12:$J12,TableC4!$C10:$K10)</f>
        <v>1</v>
      </c>
      <c r="K12" s="111">
        <f>SUMPRODUCT(TableC7!$D19:$J19,TableC2!$E10:$K10)/SUMPRODUCT(TableC7!$B19:$J19,TableC2!$C10:$K10)</f>
        <v>0.9665793249302127</v>
      </c>
      <c r="L12" s="112">
        <f t="shared" si="2"/>
        <v>1.7386177910237035</v>
      </c>
      <c r="M12" s="113">
        <f>L12*'[4]TableA3'!$K10</f>
        <v>2.0780488750603006</v>
      </c>
      <c r="N12" s="114">
        <f>1/(SUMPRODUCT(TableC7!D19:J19,'[6]TableC3'!$E11:$K11)/SUM('[6]TableC3'!$E11:$K11))</f>
        <v>1.4959592612139168</v>
      </c>
      <c r="O12" s="115">
        <f t="shared" si="3"/>
        <v>1.4459632928272474</v>
      </c>
    </row>
    <row r="13" spans="1:15" s="76" customFormat="1" ht="19.5" customHeight="1">
      <c r="A13" s="83">
        <v>1922</v>
      </c>
      <c r="B13" s="110">
        <f>(SUMPRODUCT(TableC6!$B13:$J13,TableC4!$C11:$K11)/SUM(TableC4!$C11:$K11))/(SUMPRODUCT(TableC6!$B13:$J13,TableC2!$C11:$K11)/SUM(TableC2!$C11:$K11))</f>
        <v>2.767969956393643</v>
      </c>
      <c r="C13" s="110">
        <f>(SUMPRODUCT(TableC6!$D13:$J13,TableC4!$E11:$K11)/SUM(TableC4!$E11:$K11))/(SUMPRODUCT(TableC6!$D13:$J13,TableC2!$E11:$K11)/SUM(TableC2!$E11:$K11))</f>
        <v>2.197062868015749</v>
      </c>
      <c r="D13" s="84">
        <f t="shared" si="0"/>
        <v>0.9703362834104226</v>
      </c>
      <c r="E13" s="84">
        <f>SUMPRODUCT(TableC6!$D13:$J13,TableC4!$E11:$K11)/SUMPRODUCT(TableC6!$B13:$J13,TableC4!$C11:$K11)</f>
        <v>1</v>
      </c>
      <c r="F13" s="111">
        <f>SUMPRODUCT(TableC6!$D13:$J13,TableC2!$E11:$K11)/SUMPRODUCT(TableC6!$B13:$J13,TableC2!$C11:$K11)</f>
        <v>0.9703362834104226</v>
      </c>
      <c r="G13" s="110">
        <f>TableC7!$G$11*(SUMPRODUCT(TableC6!$B13:$J13,TableC4!$C11:$K11)/SUM(TableC4!$C11:$K11))/(SUMPRODUCT(TableC7!$B20:$J20,TableC2!$C11:$K11)/SUM(TableC2!$C11:$K11))</f>
        <v>2.0348260668496794</v>
      </c>
      <c r="H13" s="110">
        <f>TableC7!$G$11*(SUMPRODUCT(TableC6!$D13:$J13,TableC4!$E11:$K11)/SUM(TableC4!$E11:$K11))/(SUMPRODUCT(TableC7!$D20:$J20,TableC2!$E11:$K11)/SUM(TableC2!$E11:$K11))</f>
        <v>1.6196779442237423</v>
      </c>
      <c r="I13" s="84">
        <f t="shared" si="1"/>
        <v>0.967613697431212</v>
      </c>
      <c r="J13" s="84">
        <f>SUMPRODUCT(TableC6!$D13:$J13,TableC4!$E11:$K11)/SUMPRODUCT(TableC6!$B13:$J13,TableC4!$C11:$K11)</f>
        <v>1</v>
      </c>
      <c r="K13" s="111">
        <f>SUMPRODUCT(TableC7!$D20:$J20,TableC2!$E11:$K11)/SUMPRODUCT(TableC7!$B20:$J20,TableC2!$C11:$K11)</f>
        <v>0.967613697431212</v>
      </c>
      <c r="L13" s="112">
        <f t="shared" si="2"/>
        <v>1.5672225642581197</v>
      </c>
      <c r="M13" s="113">
        <f>L13*'[4]TableA3'!$K11</f>
        <v>1.9590282053226495</v>
      </c>
      <c r="N13" s="114">
        <f>1/(SUMPRODUCT(TableC7!D20:J20,'[6]TableC3'!$E12:$K12)/SUM('[6]TableC3'!$E12:$K12))</f>
        <v>1.277694529941025</v>
      </c>
      <c r="O13" s="115">
        <f t="shared" si="3"/>
        <v>1.2363147283038696</v>
      </c>
    </row>
    <row r="14" spans="1:15" s="76" customFormat="1" ht="19.5" customHeight="1">
      <c r="A14" s="83">
        <v>1927</v>
      </c>
      <c r="B14" s="110">
        <f>(SUMPRODUCT(TableC6!$B14:$J14,TableC4!$C12:$K12)/SUM(TableC4!$C12:$K12))/(SUMPRODUCT(TableC6!$B14:$J14,TableC2!$C12:$K12)/SUM(TableC2!$C12:$K12))</f>
        <v>2.4088479206007785</v>
      </c>
      <c r="C14" s="110">
        <f>(SUMPRODUCT(TableC6!$D14:$J14,TableC4!$E12:$K12)/SUM(TableC4!$E12:$K12))/(SUMPRODUCT(TableC6!$D14:$J14,TableC2!$E12:$K12)/SUM(TableC2!$E12:$K12))</f>
        <v>1.9336121589545932</v>
      </c>
      <c r="D14" s="84">
        <f t="shared" si="0"/>
        <v>0.9710533791131543</v>
      </c>
      <c r="E14" s="84">
        <f>SUMPRODUCT(TableC6!$D14:$J14,TableC4!$E12:$K12)/SUMPRODUCT(TableC6!$B14:$J14,TableC4!$C12:$K12)</f>
        <v>1</v>
      </c>
      <c r="F14" s="111">
        <f>SUMPRODUCT(TableC6!$D14:$J14,TableC2!$E12:$K12)/SUMPRODUCT(TableC6!$B14:$J14,TableC2!$C12:$K12)</f>
        <v>0.9710533791131543</v>
      </c>
      <c r="G14" s="110">
        <f>TableC7!$G$11*(SUMPRODUCT(TableC6!$B14:$J14,TableC4!$C12:$K12)/SUM(TableC4!$C12:$K12))/(SUMPRODUCT(TableC7!$B21:$J21,TableC2!$C12:$K12)/SUM(TableC2!$C12:$K12))</f>
        <v>1.7566333106486247</v>
      </c>
      <c r="H14" s="110">
        <f>TableC7!$G$11*(SUMPRODUCT(TableC6!$D14:$J14,TableC4!$E12:$K12)/SUM(TableC4!$E12:$K12))/(SUMPRODUCT(TableC7!$D21:$J21,TableC2!$E12:$K12)/SUM(TableC2!$E12:$K12))</f>
        <v>1.413570209602885</v>
      </c>
      <c r="I14" s="84">
        <f t="shared" si="1"/>
        <v>0.9686498595989259</v>
      </c>
      <c r="J14" s="84">
        <f>SUMPRODUCT(TableC6!$D14:$J14,TableC4!$E12:$K12)/SUMPRODUCT(TableC6!$B14:$J14,TableC4!$C12:$K12)</f>
        <v>1</v>
      </c>
      <c r="K14" s="111">
        <f>SUMPRODUCT(TableC7!$D21:$J21,TableC2!$E12:$K12)/SUMPRODUCT(TableC7!$B21:$J21,TableC2!$C12:$K12)</f>
        <v>0.9686498595989259</v>
      </c>
      <c r="L14" s="112">
        <f t="shared" si="2"/>
        <v>1.3692545850650588</v>
      </c>
      <c r="M14" s="113">
        <f>L14*'[4]TableA3'!$K12</f>
        <v>1.7115682313313236</v>
      </c>
      <c r="N14" s="114">
        <f>1/(SUMPRODUCT(TableC7!D21:J21,'[6]TableC3'!$E13:$K13)/SUM('[6]TableC3'!$E13:$K13))</f>
        <v>1.8725214922886295</v>
      </c>
      <c r="O14" s="115">
        <f t="shared" si="3"/>
        <v>1.8138176806013522</v>
      </c>
    </row>
    <row r="15" spans="1:15" s="76" customFormat="1" ht="19.5" customHeight="1">
      <c r="A15" s="83">
        <v>1932</v>
      </c>
      <c r="B15" s="110">
        <f>(SUMPRODUCT(TableC6!$B15:$J15,TableC4!$C13:$K13)/SUM(TableC4!$C13:$K13))/(SUMPRODUCT(TableC6!$B15:$J15,TableC2!$C13:$K13)/SUM(TableC2!$C13:$K13))</f>
        <v>2.6857355981651003</v>
      </c>
      <c r="C15" s="110">
        <f>(SUMPRODUCT(TableC6!$D15:$J15,TableC4!$E13:$K13)/SUM(TableC4!$E13:$K13))/(SUMPRODUCT(TableC6!$D15:$J15,TableC2!$E13:$K13)/SUM(TableC2!$E13:$K13))</f>
        <v>2.160057636313178</v>
      </c>
      <c r="D15" s="84">
        <f t="shared" si="0"/>
        <v>0.9848601391656077</v>
      </c>
      <c r="E15" s="84">
        <f>SUMPRODUCT(TableC6!$D15:$J15,TableC4!$E13:$K13)/SUMPRODUCT(TableC6!$B15:$J15,TableC4!$C13:$K13)</f>
        <v>1</v>
      </c>
      <c r="F15" s="111">
        <f>SUMPRODUCT(TableC6!$D15:$J15,TableC2!$E13:$K13)/SUMPRODUCT(TableC6!$B15:$J15,TableC2!$C13:$K13)</f>
        <v>0.9848601391656077</v>
      </c>
      <c r="G15" s="110">
        <f>TableC7!$G$11*(SUMPRODUCT(TableC6!$B15:$J15,TableC4!$C13:$K13)/SUM(TableC4!$C13:$K13))/(SUMPRODUCT(TableC7!$B22:$J22,TableC2!$C13:$K13)/SUM(TableC2!$C13:$K13))</f>
        <v>1.990093347545492</v>
      </c>
      <c r="H15" s="110">
        <f>TableC7!$G$11*(SUMPRODUCT(TableC6!$D15:$J15,TableC4!$E13:$K13)/SUM(TableC4!$E13:$K13))/(SUMPRODUCT(TableC7!$D22:$J22,TableC2!$E13:$K13)/SUM(TableC2!$E13:$K13))</f>
        <v>1.603049169432491</v>
      </c>
      <c r="I15" s="84">
        <f t="shared" si="1"/>
        <v>0.983338965610434</v>
      </c>
      <c r="J15" s="84">
        <f>SUMPRODUCT(TableC6!$D15:$J15,TableC4!$E13:$K13)/SUMPRODUCT(TableC6!$B15:$J15,TableC4!$C13:$K13)</f>
        <v>1</v>
      </c>
      <c r="K15" s="111">
        <f>SUMPRODUCT(TableC7!$D22:$J22,TableC2!$E13:$K13)/SUMPRODUCT(TableC7!$B22:$J22,TableC2!$C13:$K13)</f>
        <v>0.983338965610434</v>
      </c>
      <c r="L15" s="112">
        <f t="shared" si="2"/>
        <v>1.5763407120924111</v>
      </c>
      <c r="M15" s="113">
        <f>L15*'[4]TableA3'!$K13</f>
        <v>1.9704258901155138</v>
      </c>
      <c r="N15" s="114">
        <f>1/(SUMPRODUCT(TableC7!D22:J22,'[6]TableC3'!$E14:$K14)/SUM('[6]TableC3'!$E14:$K14))</f>
        <v>1.4371411818767346</v>
      </c>
      <c r="O15" s="115">
        <f t="shared" si="3"/>
        <v>1.4131969232228248</v>
      </c>
    </row>
    <row r="16" spans="1:15" s="76" customFormat="1" ht="19.5" customHeight="1" thickBot="1">
      <c r="A16" s="116">
        <v>1937</v>
      </c>
      <c r="B16" s="117">
        <f>(SUMPRODUCT(TableC6!$B16:$J16,TableC4!$C14:$K14)/SUM(TableC4!$C14:$K14))/(SUMPRODUCT(TableC6!$B16:$J16,TableC2!$C14:$K14)/SUM(TableC2!$C14:$K14))</f>
        <v>2.516530045005632</v>
      </c>
      <c r="C16" s="117">
        <f>(SUMPRODUCT(TableC6!$D16:$J16,TableC4!$E14:$K14)/SUM(TableC4!$E14:$K14))/(SUMPRODUCT(TableC6!$D16:$J16,TableC2!$E14:$K14)/SUM(TableC2!$E14:$K14))</f>
        <v>2.0311543275396318</v>
      </c>
      <c r="D16" s="86">
        <f t="shared" si="0"/>
        <v>0.9864915085709018</v>
      </c>
      <c r="E16" s="86">
        <f>SUMPRODUCT(TableC6!$D16:$J16,TableC4!$E14:$K14)/SUMPRODUCT(TableC6!$B16:$J16,TableC4!$C14:$K14)</f>
        <v>1</v>
      </c>
      <c r="F16" s="118">
        <f>SUMPRODUCT(TableC6!$D16:$J16,TableC2!$E14:$K14)/SUMPRODUCT(TableC6!$B16:$J16,TableC2!$C14:$K14)</f>
        <v>0.9864915085709018</v>
      </c>
      <c r="G16" s="117">
        <f>TableC7!$G$11*(SUMPRODUCT(TableC6!$B16:$J16,TableC4!$C14:$K14)/SUM(TableC4!$C14:$K14))/(SUMPRODUCT(TableC7!$B23:$J23,TableC2!$C14:$K14)/SUM(TableC2!$C14:$K14))</f>
        <v>1.8554207479609057</v>
      </c>
      <c r="H16" s="117">
        <f>TableC7!$G$11*(SUMPRODUCT(TableC6!$D16:$J16,TableC4!$E14:$K14)/SUM(TableC4!$E14:$K14))/(SUMPRODUCT(TableC7!$D23:$J23,TableC2!$E14:$K14)/SUM(TableC2!$E14:$K14))</f>
        <v>1.4995069560115513</v>
      </c>
      <c r="I16" s="86">
        <f t="shared" si="1"/>
        <v>0.9852083362492603</v>
      </c>
      <c r="J16" s="86">
        <f>SUMPRODUCT(TableC6!$D16:$J16,TableC4!$E14:$K14)/SUMPRODUCT(TableC6!$B16:$J16,TableC4!$C14:$K14)</f>
        <v>1</v>
      </c>
      <c r="K16" s="118">
        <f>SUMPRODUCT(TableC7!$D23:$J23,TableC2!$E14:$K14)/SUMPRODUCT(TableC7!$B23:$J23,TableC2!$C14:$K14)</f>
        <v>0.9852083362492603</v>
      </c>
      <c r="L16" s="119">
        <f t="shared" si="2"/>
        <v>1.4773267533263332</v>
      </c>
      <c r="M16" s="120">
        <f>L16*'[4]TableA3'!$K14</f>
        <v>1.8466584416579166</v>
      </c>
      <c r="N16" s="121">
        <f>1/(SUMPRODUCT(TableC7!D23:J23,'[6]TableC3'!$E15:$K15)/SUM('[6]TableC3'!$E15:$K15))</f>
        <v>1.3557102694734127</v>
      </c>
      <c r="O16" s="122">
        <f t="shared" si="3"/>
        <v>1.3356570590239372</v>
      </c>
    </row>
    <row r="17" spans="1:15" ht="15.75" thickTop="1">
      <c r="A17" s="154" t="s">
        <v>165</v>
      </c>
      <c r="B17" s="139"/>
      <c r="C17" s="139"/>
      <c r="D17" s="139"/>
      <c r="E17" s="139"/>
      <c r="F17" s="139"/>
      <c r="G17" s="139"/>
      <c r="H17" s="139"/>
      <c r="I17" s="139"/>
      <c r="J17" s="150"/>
      <c r="K17" s="139"/>
      <c r="L17" s="139"/>
      <c r="M17" s="139"/>
      <c r="N17" s="139"/>
      <c r="O17" s="140"/>
    </row>
    <row r="18" spans="1:15" ht="15.75" thickBot="1">
      <c r="A18" s="143" t="s">
        <v>166</v>
      </c>
      <c r="B18" s="144"/>
      <c r="C18" s="144"/>
      <c r="D18" s="144"/>
      <c r="E18" s="144"/>
      <c r="F18" s="144"/>
      <c r="G18" s="144"/>
      <c r="H18" s="144"/>
      <c r="I18" s="144"/>
      <c r="J18" s="152"/>
      <c r="K18" s="144"/>
      <c r="L18" s="144"/>
      <c r="M18" s="144"/>
      <c r="N18" s="144"/>
      <c r="O18" s="145"/>
    </row>
    <row r="19" spans="1:15" ht="15.75" thickTop="1">
      <c r="A19" s="19"/>
      <c r="B19" s="19"/>
      <c r="C19" s="19"/>
      <c r="D19" s="19"/>
      <c r="E19" s="19"/>
      <c r="F19" s="19"/>
      <c r="G19" s="19"/>
      <c r="H19" s="19"/>
      <c r="I19" s="19"/>
      <c r="K19" s="19"/>
      <c r="L19" s="19"/>
      <c r="M19" s="19"/>
      <c r="N19" s="19"/>
      <c r="O19" s="19"/>
    </row>
    <row r="20" spans="1:15" ht="15">
      <c r="A20" s="19"/>
      <c r="B20" s="19"/>
      <c r="C20" s="19"/>
      <c r="D20" s="19"/>
      <c r="E20" s="19"/>
      <c r="F20" s="19"/>
      <c r="G20" s="19"/>
      <c r="H20" s="19"/>
      <c r="I20" s="19"/>
      <c r="K20" s="19"/>
      <c r="L20" s="19"/>
      <c r="M20" s="19"/>
      <c r="N20" s="19"/>
      <c r="O20" s="19"/>
    </row>
    <row r="21" spans="1:15" ht="15">
      <c r="A21" s="19"/>
      <c r="B21" s="19"/>
      <c r="C21" s="19"/>
      <c r="D21" s="19"/>
      <c r="E21" s="19"/>
      <c r="F21" s="19"/>
      <c r="G21" s="19"/>
      <c r="H21" s="19"/>
      <c r="I21" s="19"/>
      <c r="K21" s="19"/>
      <c r="L21" s="19"/>
      <c r="M21" s="19"/>
      <c r="N21" s="19"/>
      <c r="O21" s="19"/>
    </row>
    <row r="22" spans="1:15" ht="15">
      <c r="A22" s="19"/>
      <c r="B22" s="19"/>
      <c r="C22" s="19"/>
      <c r="D22" s="19"/>
      <c r="E22" s="19"/>
      <c r="F22" s="19"/>
      <c r="G22" s="19"/>
      <c r="H22" s="19"/>
      <c r="I22" s="19"/>
      <c r="K22" s="19"/>
      <c r="L22" s="19"/>
      <c r="M22" s="19"/>
      <c r="N22" s="19"/>
      <c r="O22" s="19"/>
    </row>
    <row r="23" spans="1:15" ht="15">
      <c r="A23" s="19"/>
      <c r="B23" s="19"/>
      <c r="C23" s="19"/>
      <c r="D23" s="19"/>
      <c r="E23" s="19"/>
      <c r="F23" s="19"/>
      <c r="G23" s="19"/>
      <c r="H23" s="19"/>
      <c r="I23" s="19"/>
      <c r="K23" s="19"/>
      <c r="L23" s="19"/>
      <c r="M23" s="19"/>
      <c r="N23" s="19"/>
      <c r="O23" s="19"/>
    </row>
    <row r="24" spans="1:15" ht="15">
      <c r="A24" s="19"/>
      <c r="B24" s="19"/>
      <c r="C24" s="19"/>
      <c r="D24" s="19"/>
      <c r="E24" s="19"/>
      <c r="F24" s="19"/>
      <c r="G24" s="19"/>
      <c r="H24" s="19"/>
      <c r="I24" s="19"/>
      <c r="K24" s="19"/>
      <c r="L24" s="19"/>
      <c r="M24" s="19"/>
      <c r="N24" s="19"/>
      <c r="O24" s="19"/>
    </row>
    <row r="25" spans="1:15" ht="15">
      <c r="A25" s="19"/>
      <c r="B25" s="19"/>
      <c r="C25" s="19"/>
      <c r="D25" s="19"/>
      <c r="E25" s="19"/>
      <c r="F25" s="19"/>
      <c r="G25" s="19"/>
      <c r="H25" s="19"/>
      <c r="I25" s="19"/>
      <c r="K25" s="19"/>
      <c r="L25" s="19"/>
      <c r="M25" s="19"/>
      <c r="N25" s="19"/>
      <c r="O25" s="19"/>
    </row>
    <row r="26" spans="1:15" ht="15">
      <c r="A26" s="19"/>
      <c r="B26" s="19"/>
      <c r="C26" s="19"/>
      <c r="D26" s="19"/>
      <c r="E26" s="19"/>
      <c r="F26" s="19"/>
      <c r="G26" s="19"/>
      <c r="H26" s="19"/>
      <c r="I26" s="19"/>
      <c r="K26" s="19"/>
      <c r="L26" s="19"/>
      <c r="M26" s="19"/>
      <c r="N26" s="19"/>
      <c r="O26" s="19"/>
    </row>
    <row r="27" spans="1:15" ht="15">
      <c r="A27" s="19"/>
      <c r="B27" s="19"/>
      <c r="C27" s="19"/>
      <c r="D27" s="19"/>
      <c r="E27" s="19"/>
      <c r="F27" s="19"/>
      <c r="G27" s="19"/>
      <c r="H27" s="19"/>
      <c r="I27" s="19"/>
      <c r="K27" s="19"/>
      <c r="L27" s="19"/>
      <c r="M27" s="19"/>
      <c r="N27" s="19"/>
      <c r="O27" s="19"/>
    </row>
    <row r="28" spans="1:15" ht="15">
      <c r="A28" s="19"/>
      <c r="B28" s="19"/>
      <c r="C28" s="19"/>
      <c r="D28" s="19"/>
      <c r="E28" s="19"/>
      <c r="F28" s="19"/>
      <c r="G28" s="19"/>
      <c r="H28" s="19"/>
      <c r="I28" s="19"/>
      <c r="K28" s="19"/>
      <c r="L28" s="19"/>
      <c r="M28" s="19"/>
      <c r="N28" s="19"/>
      <c r="O28" s="19"/>
    </row>
    <row r="29" spans="1:15" ht="15">
      <c r="A29" s="19"/>
      <c r="B29" s="19"/>
      <c r="C29" s="19"/>
      <c r="D29" s="19"/>
      <c r="E29" s="19"/>
      <c r="F29" s="19"/>
      <c r="G29" s="19"/>
      <c r="H29" s="19"/>
      <c r="I29" s="19"/>
      <c r="K29" s="19"/>
      <c r="L29" s="19"/>
      <c r="M29" s="19"/>
      <c r="N29" s="19"/>
      <c r="O29" s="19"/>
    </row>
    <row r="30" spans="1:15" ht="15">
      <c r="A30" s="19"/>
      <c r="B30" s="19"/>
      <c r="C30" s="19"/>
      <c r="D30" s="19"/>
      <c r="E30" s="19"/>
      <c r="F30" s="19"/>
      <c r="G30" s="19"/>
      <c r="H30" s="19"/>
      <c r="I30" s="19"/>
      <c r="K30" s="19"/>
      <c r="L30" s="19"/>
      <c r="M30" s="19"/>
      <c r="N30" s="19"/>
      <c r="O30" s="19"/>
    </row>
    <row r="31" spans="1:15" ht="15">
      <c r="A31" s="19"/>
      <c r="B31" s="19"/>
      <c r="C31" s="19"/>
      <c r="D31" s="19"/>
      <c r="E31" s="19"/>
      <c r="F31" s="19"/>
      <c r="G31" s="19"/>
      <c r="H31" s="19"/>
      <c r="I31" s="19"/>
      <c r="K31" s="19"/>
      <c r="L31" s="19"/>
      <c r="M31" s="19"/>
      <c r="N31" s="19"/>
      <c r="O31" s="19"/>
    </row>
    <row r="32" spans="1:15" ht="15">
      <c r="A32" s="19"/>
      <c r="B32" s="19"/>
      <c r="C32" s="19"/>
      <c r="D32" s="19"/>
      <c r="E32" s="19"/>
      <c r="F32" s="19"/>
      <c r="G32" s="19"/>
      <c r="H32" s="19"/>
      <c r="I32" s="19"/>
      <c r="K32" s="19"/>
      <c r="L32" s="19"/>
      <c r="M32" s="19"/>
      <c r="N32" s="19"/>
      <c r="O32" s="19"/>
    </row>
    <row r="33" spans="1:15" ht="15">
      <c r="A33" s="19"/>
      <c r="B33" s="19"/>
      <c r="C33" s="19"/>
      <c r="D33" s="19"/>
      <c r="E33" s="19"/>
      <c r="F33" s="19"/>
      <c r="G33" s="19"/>
      <c r="H33" s="19"/>
      <c r="I33" s="19"/>
      <c r="K33" s="19"/>
      <c r="L33" s="19"/>
      <c r="M33" s="19"/>
      <c r="N33" s="19"/>
      <c r="O33" s="19"/>
    </row>
    <row r="34" spans="1:15" ht="15">
      <c r="A34" s="19"/>
      <c r="B34" s="19"/>
      <c r="C34" s="19"/>
      <c r="D34" s="19"/>
      <c r="E34" s="19"/>
      <c r="F34" s="19"/>
      <c r="G34" s="19"/>
      <c r="H34" s="19"/>
      <c r="I34" s="19"/>
      <c r="K34" s="19"/>
      <c r="L34" s="19"/>
      <c r="M34" s="19"/>
      <c r="N34" s="19"/>
      <c r="O34" s="19"/>
    </row>
    <row r="35" spans="1:15" ht="15">
      <c r="A35" s="19"/>
      <c r="B35" s="19"/>
      <c r="C35" s="19"/>
      <c r="D35" s="19"/>
      <c r="E35" s="19"/>
      <c r="F35" s="19"/>
      <c r="G35" s="19"/>
      <c r="H35" s="19"/>
      <c r="I35" s="19"/>
      <c r="K35" s="19"/>
      <c r="L35" s="19"/>
      <c r="M35" s="19"/>
      <c r="N35" s="19"/>
      <c r="O35" s="19"/>
    </row>
    <row r="36" spans="1:15" ht="15">
      <c r="A36" s="19"/>
      <c r="B36" s="19"/>
      <c r="C36" s="19"/>
      <c r="D36" s="19"/>
      <c r="E36" s="19"/>
      <c r="F36" s="19"/>
      <c r="G36" s="19"/>
      <c r="H36" s="19"/>
      <c r="I36" s="19"/>
      <c r="K36" s="19"/>
      <c r="L36" s="19"/>
      <c r="M36" s="19"/>
      <c r="N36" s="19"/>
      <c r="O36" s="19"/>
    </row>
    <row r="37" spans="1:15" ht="15">
      <c r="A37" s="19"/>
      <c r="B37" s="19"/>
      <c r="C37" s="19"/>
      <c r="D37" s="19"/>
      <c r="E37" s="19"/>
      <c r="F37" s="19"/>
      <c r="G37" s="19"/>
      <c r="H37" s="19"/>
      <c r="I37" s="19"/>
      <c r="K37" s="19"/>
      <c r="L37" s="19"/>
      <c r="M37" s="19"/>
      <c r="N37" s="19"/>
      <c r="O37" s="19"/>
    </row>
    <row r="38" spans="1:15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L39" s="19"/>
      <c r="M39" s="19"/>
      <c r="N39" s="19"/>
      <c r="O39" s="19"/>
    </row>
    <row r="40" spans="1:15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L40" s="19"/>
      <c r="M40" s="19"/>
      <c r="N40" s="19"/>
      <c r="O40" s="19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L41" s="19"/>
      <c r="M41" s="19"/>
      <c r="N41" s="19"/>
      <c r="O41" s="19"/>
    </row>
    <row r="42" spans="1:15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L42" s="19"/>
      <c r="M42" s="19"/>
      <c r="N42" s="19"/>
      <c r="O42" s="19"/>
    </row>
    <row r="43" spans="1:15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L43" s="19"/>
      <c r="M43" s="19"/>
      <c r="N43" s="19"/>
      <c r="O43" s="19"/>
    </row>
    <row r="44" spans="1:15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L44" s="19"/>
      <c r="M44" s="19"/>
      <c r="N44" s="19"/>
      <c r="O44" s="19"/>
    </row>
    <row r="45" spans="1:15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L45" s="19"/>
      <c r="M45" s="19"/>
      <c r="N45" s="19"/>
      <c r="O45" s="19"/>
    </row>
    <row r="46" spans="1:15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L46" s="19"/>
      <c r="M46" s="19"/>
      <c r="N46" s="19"/>
      <c r="O46" s="19"/>
    </row>
    <row r="47" spans="1:15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L47" s="19"/>
      <c r="M47" s="19"/>
      <c r="N47" s="19"/>
      <c r="O47" s="19"/>
    </row>
    <row r="48" spans="1:15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L48" s="19"/>
      <c r="M48" s="19"/>
      <c r="N48" s="19"/>
      <c r="O48" s="19"/>
    </row>
    <row r="49" spans="1:15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L49" s="19"/>
      <c r="M49" s="19"/>
      <c r="N49" s="19"/>
      <c r="O49" s="19"/>
    </row>
    <row r="50" spans="1:15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L50" s="19"/>
      <c r="M50" s="19"/>
      <c r="N50" s="19"/>
      <c r="O50" s="19"/>
    </row>
    <row r="51" spans="1:15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L51" s="19"/>
      <c r="M51" s="19"/>
      <c r="N51" s="19"/>
      <c r="O51" s="19"/>
    </row>
    <row r="52" spans="1:15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L52" s="19"/>
      <c r="M52" s="19"/>
      <c r="N52" s="19"/>
      <c r="O52" s="19"/>
    </row>
    <row r="53" spans="1:15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L53" s="19"/>
      <c r="M53" s="19"/>
      <c r="N53" s="19"/>
      <c r="O53" s="19"/>
    </row>
    <row r="54" spans="1:15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L54" s="19"/>
      <c r="M54" s="19"/>
      <c r="N54" s="19"/>
      <c r="O54" s="19"/>
    </row>
    <row r="55" spans="1:15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L55" s="19"/>
      <c r="M55" s="19"/>
      <c r="N55" s="19"/>
      <c r="O55" s="19"/>
    </row>
    <row r="56" spans="1:16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L56" s="19"/>
      <c r="M56" s="19"/>
      <c r="N56" s="19"/>
      <c r="O56" s="19"/>
      <c r="P56" s="19"/>
    </row>
    <row r="57" spans="1:16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L57" s="19"/>
      <c r="M57" s="19"/>
      <c r="N57" s="19"/>
      <c r="O57" s="19"/>
      <c r="P57" s="19"/>
    </row>
    <row r="58" spans="1:16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L58" s="19"/>
      <c r="M58" s="19"/>
      <c r="N58" s="19"/>
      <c r="O58" s="19"/>
      <c r="P58" s="19"/>
    </row>
    <row r="59" spans="1:16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L59" s="19"/>
      <c r="M59" s="19"/>
      <c r="N59" s="19"/>
      <c r="O59" s="19"/>
      <c r="P59" s="19"/>
    </row>
    <row r="60" spans="1:16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L60" s="19"/>
      <c r="M60" s="19"/>
      <c r="N60" s="19"/>
      <c r="O60" s="19"/>
      <c r="P60" s="19"/>
    </row>
    <row r="61" spans="1:16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  <c r="O61" s="19"/>
      <c r="P61" s="19"/>
    </row>
    <row r="62" spans="1:16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L62" s="19"/>
      <c r="M62" s="19"/>
      <c r="N62" s="19"/>
      <c r="O62" s="19"/>
      <c r="P62" s="19"/>
    </row>
    <row r="63" spans="1:16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L63" s="19"/>
      <c r="M63" s="19"/>
      <c r="N63" s="19"/>
      <c r="O63" s="19"/>
      <c r="P63" s="19"/>
    </row>
    <row r="64" spans="1:16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L64" s="19"/>
      <c r="M64" s="19"/>
      <c r="N64" s="19"/>
      <c r="O64" s="19"/>
      <c r="P64" s="19"/>
    </row>
    <row r="65" spans="1:16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L65" s="19"/>
      <c r="M65" s="19"/>
      <c r="N65" s="19"/>
      <c r="O65" s="19"/>
      <c r="P65" s="19"/>
    </row>
    <row r="66" spans="1:16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L66" s="19"/>
      <c r="M66" s="19"/>
      <c r="N66" s="19"/>
      <c r="O66" s="19"/>
      <c r="P66" s="19"/>
    </row>
    <row r="67" spans="1:16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L67" s="19"/>
      <c r="M67" s="19"/>
      <c r="N67" s="19"/>
      <c r="O67" s="19"/>
      <c r="P67" s="19"/>
    </row>
    <row r="68" spans="1:16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L68" s="19"/>
      <c r="M68" s="19"/>
      <c r="N68" s="19"/>
      <c r="O68" s="19"/>
      <c r="P68" s="19"/>
    </row>
    <row r="69" spans="1:16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L69" s="19"/>
      <c r="M69" s="19"/>
      <c r="N69" s="19"/>
      <c r="O69" s="19"/>
      <c r="P69" s="19"/>
    </row>
    <row r="70" spans="1:16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8:15" ht="15">
      <c r="H104" s="19"/>
      <c r="I104" s="19"/>
      <c r="J104" s="19"/>
      <c r="K104" s="19"/>
      <c r="L104" s="19"/>
      <c r="M104" s="19"/>
      <c r="N104" s="19"/>
      <c r="O104" s="19"/>
    </row>
    <row r="105" spans="8:15" ht="15">
      <c r="H105" s="19"/>
      <c r="I105" s="19"/>
      <c r="J105" s="19"/>
      <c r="K105" s="19"/>
      <c r="L105" s="19"/>
      <c r="M105" s="19"/>
      <c r="N105" s="19"/>
      <c r="O105" s="19"/>
    </row>
    <row r="106" spans="8:15" ht="15">
      <c r="H106" s="19"/>
      <c r="I106" s="19"/>
      <c r="J106" s="19"/>
      <c r="K106" s="19"/>
      <c r="L106" s="19"/>
      <c r="M106" s="19"/>
      <c r="N106" s="19"/>
      <c r="O106" s="19"/>
    </row>
    <row r="107" spans="8:15" ht="15">
      <c r="H107" s="19"/>
      <c r="I107" s="19"/>
      <c r="J107" s="19"/>
      <c r="K107" s="19"/>
      <c r="L107" s="19"/>
      <c r="M107" s="19"/>
      <c r="N107" s="19"/>
      <c r="O107" s="19"/>
    </row>
    <row r="108" spans="8:15" ht="15">
      <c r="H108" s="19"/>
      <c r="I108" s="19"/>
      <c r="J108" s="19"/>
      <c r="K108" s="19"/>
      <c r="L108" s="19"/>
      <c r="M108" s="19"/>
      <c r="N108" s="19"/>
      <c r="O108" s="19"/>
    </row>
    <row r="109" spans="8:15" ht="15">
      <c r="H109" s="19"/>
      <c r="I109" s="19"/>
      <c r="J109" s="19"/>
      <c r="K109" s="19"/>
      <c r="L109" s="19"/>
      <c r="M109" s="19"/>
      <c r="N109" s="19"/>
      <c r="O109" s="19"/>
    </row>
    <row r="110" spans="8:15" ht="15">
      <c r="H110" s="19"/>
      <c r="I110" s="19"/>
      <c r="J110" s="19"/>
      <c r="K110" s="19"/>
      <c r="L110" s="19"/>
      <c r="M110" s="19"/>
      <c r="N110" s="19"/>
      <c r="O110" s="19"/>
    </row>
    <row r="111" spans="8:15" ht="15">
      <c r="H111" s="19"/>
      <c r="I111" s="19"/>
      <c r="J111" s="19"/>
      <c r="K111" s="19"/>
      <c r="L111" s="19"/>
      <c r="M111" s="19"/>
      <c r="N111" s="19"/>
      <c r="O111" s="19"/>
    </row>
    <row r="112" spans="8:15" ht="15">
      <c r="H112" s="19"/>
      <c r="I112" s="19"/>
      <c r="J112" s="19"/>
      <c r="K112" s="19"/>
      <c r="L112" s="19"/>
      <c r="M112" s="19"/>
      <c r="N112" s="19"/>
      <c r="O112" s="19"/>
    </row>
    <row r="113" spans="8:15" ht="15">
      <c r="H113" s="19"/>
      <c r="I113" s="19"/>
      <c r="J113" s="19"/>
      <c r="K113" s="19"/>
      <c r="L113" s="19"/>
      <c r="M113" s="19"/>
      <c r="N113" s="19"/>
      <c r="O113" s="19"/>
    </row>
  </sheetData>
  <mergeCells count="6">
    <mergeCell ref="B8:F8"/>
    <mergeCell ref="G8:K8"/>
    <mergeCell ref="A5:O5"/>
    <mergeCell ref="L8:M8"/>
    <mergeCell ref="N8:N9"/>
    <mergeCell ref="O8:O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>
      <selection activeCell="A2" sqref="A2:H19"/>
    </sheetView>
  </sheetViews>
  <sheetFormatPr defaultColWidth="10.25390625" defaultRowHeight="15.75"/>
  <cols>
    <col min="1" max="1" width="25.75390625" style="3" customWidth="1"/>
    <col min="2" max="8" width="10.75390625" style="3" customWidth="1"/>
    <col min="9" max="15" width="7.625" style="3" customWidth="1"/>
    <col min="16" max="16384" width="10.25390625" style="3" customWidth="1"/>
  </cols>
  <sheetData>
    <row r="1" spans="1:3" s="76" customFormat="1" ht="15.75" thickBot="1">
      <c r="A1" s="75"/>
      <c r="B1" s="75"/>
      <c r="C1" s="75"/>
    </row>
    <row r="2" spans="1:8" s="76" customFormat="1" ht="15.75" thickTop="1">
      <c r="A2" s="156" t="s">
        <v>147</v>
      </c>
      <c r="B2" s="157"/>
      <c r="C2" s="157"/>
      <c r="D2" s="157"/>
      <c r="E2" s="157"/>
      <c r="F2" s="157"/>
      <c r="G2" s="157"/>
      <c r="H2" s="158"/>
    </row>
    <row r="3" spans="1:8" s="76" customFormat="1" ht="15">
      <c r="A3" s="77"/>
      <c r="B3" s="88"/>
      <c r="C3" s="88"/>
      <c r="D3" s="88"/>
      <c r="E3" s="88"/>
      <c r="F3" s="88"/>
      <c r="G3" s="88"/>
      <c r="H3" s="89"/>
    </row>
    <row r="4" spans="1:8" s="76" customFormat="1" ht="15">
      <c r="A4" s="184" t="s">
        <v>92</v>
      </c>
      <c r="B4" s="185"/>
      <c r="C4" s="185"/>
      <c r="D4" s="185"/>
      <c r="E4" s="185"/>
      <c r="F4" s="185"/>
      <c r="G4" s="185"/>
      <c r="H4" s="186"/>
    </row>
    <row r="5" spans="1:8" s="76" customFormat="1" ht="15">
      <c r="A5" s="90"/>
      <c r="B5" s="181" t="s">
        <v>14</v>
      </c>
      <c r="C5" s="181" t="s">
        <v>15</v>
      </c>
      <c r="D5" s="181" t="s">
        <v>16</v>
      </c>
      <c r="E5" s="181" t="s">
        <v>17</v>
      </c>
      <c r="F5" s="181" t="s">
        <v>18</v>
      </c>
      <c r="G5" s="181" t="s">
        <v>19</v>
      </c>
      <c r="H5" s="183" t="s">
        <v>20</v>
      </c>
    </row>
    <row r="6" spans="1:8" s="76" customFormat="1" ht="15">
      <c r="A6" s="90"/>
      <c r="B6" s="182"/>
      <c r="C6" s="182"/>
      <c r="D6" s="182"/>
      <c r="E6" s="182"/>
      <c r="F6" s="182"/>
      <c r="G6" s="182"/>
      <c r="H6" s="155"/>
    </row>
    <row r="7" spans="1:8" s="76" customFormat="1" ht="18">
      <c r="A7" s="82" t="s">
        <v>93</v>
      </c>
      <c r="B7" s="91">
        <v>5</v>
      </c>
      <c r="C7" s="91">
        <v>5</v>
      </c>
      <c r="D7" s="91">
        <v>4</v>
      </c>
      <c r="E7" s="91">
        <v>3</v>
      </c>
      <c r="F7" s="91">
        <v>2</v>
      </c>
      <c r="G7" s="91">
        <v>1.5</v>
      </c>
      <c r="H7" s="92">
        <v>1.1</v>
      </c>
    </row>
    <row r="8" spans="1:8" s="76" customFormat="1" ht="18.75">
      <c r="A8" s="82" t="s">
        <v>94</v>
      </c>
      <c r="B8" s="91">
        <f aca="true" t="shared" si="0" ref="B8:H8">2*B7/(1+B7)</f>
        <v>1.6666666666666667</v>
      </c>
      <c r="C8" s="91">
        <f t="shared" si="0"/>
        <v>1.6666666666666667</v>
      </c>
      <c r="D8" s="91">
        <f t="shared" si="0"/>
        <v>1.6</v>
      </c>
      <c r="E8" s="91">
        <f t="shared" si="0"/>
        <v>1.5</v>
      </c>
      <c r="F8" s="91">
        <f t="shared" si="0"/>
        <v>1.3333333333333333</v>
      </c>
      <c r="G8" s="91">
        <f t="shared" si="0"/>
        <v>1.2</v>
      </c>
      <c r="H8" s="92">
        <f t="shared" si="0"/>
        <v>1.0476190476190477</v>
      </c>
    </row>
    <row r="9" spans="1:8" s="76" customFormat="1" ht="20.25" customHeight="1">
      <c r="A9" s="82" t="s">
        <v>95</v>
      </c>
      <c r="B9" s="91">
        <f aca="true" t="shared" si="1" ref="B9:H9">2/(1+B7)</f>
        <v>0.3333333333333333</v>
      </c>
      <c r="C9" s="91">
        <f t="shared" si="1"/>
        <v>0.3333333333333333</v>
      </c>
      <c r="D9" s="91">
        <f t="shared" si="1"/>
        <v>0.4</v>
      </c>
      <c r="E9" s="91">
        <f t="shared" si="1"/>
        <v>0.5</v>
      </c>
      <c r="F9" s="91">
        <f t="shared" si="1"/>
        <v>0.6666666666666666</v>
      </c>
      <c r="G9" s="91">
        <f t="shared" si="1"/>
        <v>0.8</v>
      </c>
      <c r="H9" s="92">
        <f t="shared" si="1"/>
        <v>0.9523809523809523</v>
      </c>
    </row>
    <row r="10" spans="1:8" s="76" customFormat="1" ht="20.25" customHeight="1">
      <c r="A10" s="82" t="s">
        <v>148</v>
      </c>
      <c r="B10" s="129">
        <f>TableC4!E10/TableC2!E10</f>
        <v>0.005945586967839507</v>
      </c>
      <c r="C10" s="129">
        <f>TableC4!F10/TableC2!F10</f>
        <v>0.009129725620688131</v>
      </c>
      <c r="D10" s="129">
        <f>TableC4!G10/TableC2!G10</f>
        <v>0.014205805515238385</v>
      </c>
      <c r="E10" s="129">
        <f>TableC4!H10/TableC2!H10</f>
        <v>0.024650162674103346</v>
      </c>
      <c r="F10" s="129">
        <f>TableC4!I10/TableC2!I10</f>
        <v>0.04419475374787363</v>
      </c>
      <c r="G10" s="129">
        <f>TableC4!J10/TableC2!J10</f>
        <v>0.09217853748621227</v>
      </c>
      <c r="H10" s="130">
        <f>TableC4!K10/TableC2!K10</f>
        <v>0.19811034700320007</v>
      </c>
    </row>
    <row r="11" spans="1:8" s="76" customFormat="1" ht="15">
      <c r="A11" s="82" t="s">
        <v>149</v>
      </c>
      <c r="B11" s="131">
        <v>10000</v>
      </c>
      <c r="C11" s="131">
        <f aca="true" t="shared" si="2" ref="C11:H11">B15</f>
        <v>9405.44130321605</v>
      </c>
      <c r="D11" s="131">
        <f t="shared" si="2"/>
        <v>8546.750318817552</v>
      </c>
      <c r="E11" s="131">
        <f t="shared" si="2"/>
        <v>7332.615590653314</v>
      </c>
      <c r="F11" s="131">
        <f t="shared" si="2"/>
        <v>5525.1139192906085</v>
      </c>
      <c r="G11" s="131">
        <f t="shared" si="2"/>
        <v>3083.3034283706347</v>
      </c>
      <c r="H11" s="132">
        <f t="shared" si="2"/>
        <v>241.15942183634115</v>
      </c>
    </row>
    <row r="12" spans="1:8" s="81" customFormat="1" ht="15">
      <c r="A12" s="82" t="s">
        <v>150</v>
      </c>
      <c r="B12" s="131">
        <f aca="true" t="shared" si="3" ref="B12:G13">0.5*10*B$11*B8*B$10</f>
        <v>495.46558065329236</v>
      </c>
      <c r="C12" s="131">
        <f t="shared" si="3"/>
        <v>715.5758203320829</v>
      </c>
      <c r="D12" s="131">
        <f t="shared" si="3"/>
        <v>971.3077825313904</v>
      </c>
      <c r="E12" s="131">
        <f t="shared" si="3"/>
        <v>1355.6262535220294</v>
      </c>
      <c r="F12" s="131">
        <f t="shared" si="3"/>
        <v>1627.8736606133157</v>
      </c>
      <c r="G12" s="131">
        <f t="shared" si="3"/>
        <v>1705.286403920576</v>
      </c>
      <c r="H12" s="132">
        <f>0.5*H$11</f>
        <v>120.57971091817058</v>
      </c>
    </row>
    <row r="13" spans="1:15" s="81" customFormat="1" ht="15">
      <c r="A13" s="82" t="s">
        <v>153</v>
      </c>
      <c r="B13" s="131">
        <f t="shared" si="3"/>
        <v>99.09311613065844</v>
      </c>
      <c r="C13" s="131">
        <f t="shared" si="3"/>
        <v>143.11516406641655</v>
      </c>
      <c r="D13" s="131">
        <f t="shared" si="3"/>
        <v>242.8269456328476</v>
      </c>
      <c r="E13" s="131">
        <f t="shared" si="3"/>
        <v>451.87541784067645</v>
      </c>
      <c r="F13" s="131">
        <f t="shared" si="3"/>
        <v>813.9368303066578</v>
      </c>
      <c r="G13" s="131">
        <f t="shared" si="3"/>
        <v>1136.8576026137175</v>
      </c>
      <c r="H13" s="132">
        <f>0.5*H$11</f>
        <v>120.57971091817058</v>
      </c>
      <c r="I13" s="93"/>
      <c r="J13" s="93"/>
      <c r="K13" s="93"/>
      <c r="L13" s="93"/>
      <c r="M13" s="93"/>
      <c r="N13" s="93"/>
      <c r="O13" s="93"/>
    </row>
    <row r="14" spans="1:15" s="81" customFormat="1" ht="15">
      <c r="A14" s="82" t="s">
        <v>152</v>
      </c>
      <c r="B14" s="131">
        <f>B12+B13</f>
        <v>594.5586967839508</v>
      </c>
      <c r="C14" s="131">
        <f aca="true" t="shared" si="4" ref="C14:H14">C12+C13</f>
        <v>858.6909843984995</v>
      </c>
      <c r="D14" s="131">
        <f t="shared" si="4"/>
        <v>1214.1347281642381</v>
      </c>
      <c r="E14" s="131">
        <f t="shared" si="4"/>
        <v>1807.5016713627058</v>
      </c>
      <c r="F14" s="131">
        <f t="shared" si="4"/>
        <v>2441.8104909199737</v>
      </c>
      <c r="G14" s="131">
        <f t="shared" si="4"/>
        <v>2842.1440065342936</v>
      </c>
      <c r="H14" s="132">
        <f t="shared" si="4"/>
        <v>241.15942183634115</v>
      </c>
      <c r="I14" s="93"/>
      <c r="J14" s="93"/>
      <c r="K14" s="93"/>
      <c r="L14" s="93"/>
      <c r="M14" s="93"/>
      <c r="N14" s="93"/>
      <c r="O14" s="93"/>
    </row>
    <row r="15" spans="1:8" s="81" customFormat="1" ht="15">
      <c r="A15" s="82" t="s">
        <v>151</v>
      </c>
      <c r="B15" s="131">
        <f>B11-B12-B13</f>
        <v>9405.44130321605</v>
      </c>
      <c r="C15" s="131">
        <f aca="true" t="shared" si="5" ref="C15:H15">C11-C12-C13</f>
        <v>8546.750318817552</v>
      </c>
      <c r="D15" s="131">
        <f t="shared" si="5"/>
        <v>7332.615590653314</v>
      </c>
      <c r="E15" s="131">
        <f t="shared" si="5"/>
        <v>5525.1139192906085</v>
      </c>
      <c r="F15" s="131">
        <f t="shared" si="5"/>
        <v>3083.3034283706347</v>
      </c>
      <c r="G15" s="131">
        <f t="shared" si="5"/>
        <v>241.15942183634115</v>
      </c>
      <c r="H15" s="132">
        <f t="shared" si="5"/>
        <v>0</v>
      </c>
    </row>
    <row r="16" spans="1:8" s="81" customFormat="1" ht="15">
      <c r="A16" s="82" t="s">
        <v>154</v>
      </c>
      <c r="B16" s="133">
        <f>(B12*25+C12*35+D12*45+E12*55+F12*65+G12*75+H12*82.5)/SUM(B12:H12)</f>
        <v>57.11848518326067</v>
      </c>
      <c r="C16" s="131"/>
      <c r="D16" s="131"/>
      <c r="E16" s="131"/>
      <c r="F16" s="131"/>
      <c r="G16" s="131"/>
      <c r="H16" s="132"/>
    </row>
    <row r="17" spans="1:8" s="81" customFormat="1" ht="15">
      <c r="A17" s="82" t="s">
        <v>155</v>
      </c>
      <c r="B17" s="133">
        <f>(B13*25+C13*35+D13*45+E13*55+F13*65+G13*75+H13*82.5)/SUM(B13:H13)</f>
        <v>63.619229233773225</v>
      </c>
      <c r="C17" s="133">
        <f>B17-B16</f>
        <v>6.500744050512559</v>
      </c>
      <c r="D17" s="131"/>
      <c r="E17" s="131"/>
      <c r="F17" s="131"/>
      <c r="G17" s="131"/>
      <c r="H17" s="132"/>
    </row>
    <row r="18" spans="1:8" s="81" customFormat="1" ht="15.75" thickBot="1">
      <c r="A18" s="134" t="s">
        <v>156</v>
      </c>
      <c r="B18" s="135">
        <f>(B14*25+C14*35+D14*45+E14*55+F14*65+G14*75+H14*82.5)/SUM(B14:H14)</f>
        <v>59.074094126725406</v>
      </c>
      <c r="C18" s="136"/>
      <c r="D18" s="136"/>
      <c r="E18" s="136"/>
      <c r="F18" s="136"/>
      <c r="G18" s="136"/>
      <c r="H18" s="137"/>
    </row>
    <row r="19" spans="1:8" ht="16.5" thickBot="1" thickTop="1">
      <c r="A19" s="159" t="s">
        <v>167</v>
      </c>
      <c r="B19" s="160"/>
      <c r="C19" s="160"/>
      <c r="D19" s="160"/>
      <c r="E19" s="160"/>
      <c r="F19" s="160"/>
      <c r="G19" s="160"/>
      <c r="H19" s="161"/>
    </row>
    <row r="20" ht="15.75" thickTop="1">
      <c r="A20" s="19"/>
    </row>
    <row r="21" ht="15">
      <c r="A21" s="19"/>
    </row>
    <row r="22" ht="15">
      <c r="A22" s="19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</sheetData>
  <mergeCells count="9">
    <mergeCell ref="A2:H2"/>
    <mergeCell ref="A4:H4"/>
    <mergeCell ref="B5:B6"/>
    <mergeCell ref="C5:C6"/>
    <mergeCell ref="H5:H6"/>
    <mergeCell ref="D5:D6"/>
    <mergeCell ref="E5:E6"/>
    <mergeCell ref="F5:F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2011-04-29T12:35:17Z</cp:lastPrinted>
  <dcterms:created xsi:type="dcterms:W3CDTF">2010-03-26T12:41:10Z</dcterms:created>
  <dcterms:modified xsi:type="dcterms:W3CDTF">2011-04-30T17:39:57Z</dcterms:modified>
  <cp:category/>
  <cp:version/>
  <cp:contentType/>
  <cp:contentStatus/>
</cp:coreProperties>
</file>